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0485" windowHeight="4695" tabRatio="873" activeTab="1"/>
  </bookViews>
  <sheets>
    <sheet name="Исходник " sheetId="1" r:id="rId1"/>
    <sheet name="1.Титул " sheetId="2" r:id="rId2"/>
    <sheet name="Список Т.Д. к Т.О. №505" sheetId="3" r:id="rId3"/>
    <sheet name="Паспорт к Т.О. №500 п-с" sheetId="4" state="hidden" r:id="rId4"/>
    <sheet name="Пр. исп. к Т.О. №505" sheetId="5" r:id="rId5"/>
    <sheet name="П.З. к Т.О. №505" sheetId="6" r:id="rId6"/>
    <sheet name="Протокол № 505-1" sheetId="7" r:id="rId7"/>
    <sheet name="Протокол №505-2" sheetId="8" r:id="rId8"/>
    <sheet name="Протокол №505-3" sheetId="9" r:id="rId9"/>
    <sheet name="Протокол №500-3 п-с" sheetId="10" state="hidden" r:id="rId10"/>
    <sheet name="Протокол №505-4" sheetId="11" r:id="rId11"/>
    <sheet name="Протокол №500-4 п-с" sheetId="12" state="hidden" r:id="rId12"/>
    <sheet name="Протокол № 500-5 п-с" sheetId="13" state="hidden" r:id="rId13"/>
    <sheet name="Протокол № 505-6" sheetId="14" r:id="rId14"/>
    <sheet name="Протокол №500-7 заявка" sheetId="15" state="hidden" r:id="rId15"/>
    <sheet name="Протокол №500-8 заявка" sheetId="16" state="hidden" r:id="rId16"/>
    <sheet name="В.Д. к Т.О. №505" sheetId="17" r:id="rId17"/>
    <sheet name="Протокол №500-9 заявка" sheetId="18" state="hidden" r:id="rId18"/>
    <sheet name="Протокол №500-10 заявка" sheetId="19" state="hidden" r:id="rId19"/>
    <sheet name="Протокол  №500-11 заявка" sheetId="20" state="hidden" r:id="rId20"/>
    <sheet name="Протокол №500-12 заявка" sheetId="21" state="hidden" r:id="rId21"/>
    <sheet name="Пер.Приб. к Т.О. №500 заявка" sheetId="22" state="hidden" r:id="rId22"/>
    <sheet name="Заключение к Т.О. №500 п-с" sheetId="23" state="hidden" r:id="rId23"/>
    <sheet name="Протокол №500-13 п-с (пож.) " sheetId="24" state="hidden" r:id="rId24"/>
    <sheet name="Протокол №500-14 э " sheetId="25" state="hidden" r:id="rId25"/>
    <sheet name="Протокол № 500-15 п-с и э" sheetId="26" state="hidden" r:id="rId26"/>
    <sheet name="Приложение к Т.О. №505 " sheetId="27" r:id="rId27"/>
  </sheets>
  <externalReferences>
    <externalReference r:id="rId28"/>
    <externalReference r:id="rId29"/>
  </externalReferences>
  <definedNames>
    <definedName name="_22" localSheetId="23">#REF!</definedName>
    <definedName name="_22" localSheetId="24">#REF!</definedName>
    <definedName name="_22" localSheetId="8">#REF!</definedName>
    <definedName name="_220" localSheetId="4">#REF!</definedName>
    <definedName name="_220" localSheetId="23">#REF!</definedName>
    <definedName name="_220" localSheetId="24">#REF!</definedName>
    <definedName name="_220" localSheetId="14">#REF!</definedName>
    <definedName name="_220" localSheetId="17">#REF!</definedName>
    <definedName name="_220" localSheetId="8">#REF!</definedName>
    <definedName name="_220" localSheetId="2">#REF!</definedName>
    <definedName name="_220В" localSheetId="23">#REF!</definedName>
    <definedName name="_220В" localSheetId="24">#REF!</definedName>
    <definedName name="_220В" localSheetId="17">#REF!</definedName>
    <definedName name="_220В" localSheetId="8">#REF!</definedName>
    <definedName name="АВС" localSheetId="4">#REF!</definedName>
    <definedName name="АВС" localSheetId="23">#REF!</definedName>
    <definedName name="АВС" localSheetId="24">#REF!</definedName>
    <definedName name="АВС" localSheetId="14">#REF!</definedName>
    <definedName name="АВС" localSheetId="17">#REF!</definedName>
    <definedName name="АВС" localSheetId="8">#REF!</definedName>
    <definedName name="АВС" localSheetId="2">#REF!</definedName>
    <definedName name="_xlnm.Print_Titles" localSheetId="16">'В.Д. к Т.О. №505'!$12:$12</definedName>
    <definedName name="_xlnm.Print_Titles" localSheetId="4">'Пр. исп. к Т.О. №505'!$3:$3</definedName>
    <definedName name="_xlnm.Print_Titles" localSheetId="26">'Приложение к Т.О. №505 '!$10:$10</definedName>
    <definedName name="_xlnm.Print_Titles" localSheetId="19">'Протокол  №500-11 заявка'!$17:$17</definedName>
    <definedName name="_xlnm.Print_Titles" localSheetId="25">#REF!</definedName>
    <definedName name="_xlnm.Print_Titles" localSheetId="12">'Протокол № 500-5 п-с'!$19:$19</definedName>
    <definedName name="_xlnm.Print_Titles" localSheetId="6">'Протокол № 505-1'!$13:$13</definedName>
    <definedName name="_xlnm.Print_Titles" localSheetId="13">'Протокол № 505-6'!$19:$19</definedName>
    <definedName name="_xlnm.Print_Titles" localSheetId="18">'Протокол №500-10 заявка'!$18:$18</definedName>
    <definedName name="_xlnm.Print_Titles" localSheetId="20">'Протокол №500-12 заявка'!$22:$22</definedName>
    <definedName name="_xlnm.Print_Titles" localSheetId="23">'Протокол №500-13 п-с (пож.) '!$22:$22</definedName>
    <definedName name="_xlnm.Print_Titles" localSheetId="24">#REF!</definedName>
    <definedName name="_xlnm.Print_Titles" localSheetId="9">'Протокол №500-3 п-с'!$21:$21</definedName>
    <definedName name="_xlnm.Print_Titles" localSheetId="11">'Протокол №500-4 п-с'!$20:$20</definedName>
    <definedName name="_xlnm.Print_Titles" localSheetId="14">'Протокол №500-7 заявка'!$23:$23</definedName>
    <definedName name="_xlnm.Print_Titles" localSheetId="15">'Протокол №500-8 заявка'!$25:$25</definedName>
    <definedName name="_xlnm.Print_Titles" localSheetId="17">'Протокол №500-9 заявка'!$21:$21</definedName>
    <definedName name="_xlnm.Print_Titles" localSheetId="7">'Протокол №505-2'!$19:$19</definedName>
    <definedName name="_xlnm.Print_Titles" localSheetId="8">'Протокол №505-3'!$21:$21</definedName>
    <definedName name="_xlnm.Print_Titles" localSheetId="10">'Протокол №505-4'!$18:$18</definedName>
  </definedNames>
  <calcPr calcId="114210" fullCalcOnLoad="1"/>
</workbook>
</file>

<file path=xl/calcChain.xml><?xml version="1.0" encoding="utf-8"?>
<calcChain xmlns="http://schemas.openxmlformats.org/spreadsheetml/2006/main">
  <c r="Y34" i="27"/>
  <c r="Y32"/>
  <c r="Y30"/>
  <c r="B31" i="1"/>
  <c r="AB4" i="27"/>
  <c r="P4"/>
  <c r="A4"/>
  <c r="S3"/>
  <c r="P3"/>
  <c r="K3"/>
  <c r="A3"/>
  <c r="T2"/>
  <c r="P2"/>
  <c r="T1"/>
  <c r="P1"/>
  <c r="A1"/>
  <c r="V27" i="26"/>
  <c r="V25"/>
  <c r="V23"/>
  <c r="V16"/>
  <c r="Z13"/>
  <c r="U13"/>
  <c r="N13"/>
  <c r="J13"/>
  <c r="A13"/>
  <c r="F19" i="1"/>
  <c r="A5" i="26"/>
  <c r="X4"/>
  <c r="B4"/>
  <c r="Q3"/>
  <c r="B3"/>
  <c r="R2"/>
  <c r="R1"/>
  <c r="B1"/>
  <c r="X23" i="25"/>
  <c r="X21"/>
  <c r="X19"/>
  <c r="A10"/>
  <c r="V8"/>
  <c r="P8"/>
  <c r="K8"/>
  <c r="F8"/>
  <c r="D8"/>
  <c r="B8"/>
  <c r="F18" i="1"/>
  <c r="A5" i="25"/>
  <c r="Z4"/>
  <c r="B4"/>
  <c r="U3"/>
  <c r="B3"/>
  <c r="U2"/>
  <c r="U1"/>
  <c r="B1"/>
  <c r="X41" i="24"/>
  <c r="X39"/>
  <c r="X37"/>
  <c r="AC34"/>
  <c r="X34"/>
  <c r="T34"/>
  <c r="P34"/>
  <c r="L34"/>
  <c r="H34"/>
  <c r="D34"/>
  <c r="B34"/>
  <c r="AC33"/>
  <c r="X33"/>
  <c r="T33"/>
  <c r="P33"/>
  <c r="L33"/>
  <c r="H33"/>
  <c r="D33"/>
  <c r="B33"/>
  <c r="AC32"/>
  <c r="X32"/>
  <c r="T32"/>
  <c r="P32"/>
  <c r="L32"/>
  <c r="H32"/>
  <c r="D32"/>
  <c r="B32"/>
  <c r="N27"/>
  <c r="I27"/>
  <c r="N26"/>
  <c r="I26"/>
  <c r="N25"/>
  <c r="I25"/>
  <c r="N24"/>
  <c r="I24"/>
  <c r="N23"/>
  <c r="I23"/>
  <c r="A11"/>
  <c r="AA9"/>
  <c r="Y9"/>
  <c r="P9"/>
  <c r="O9"/>
  <c r="N9"/>
  <c r="F9"/>
  <c r="D9"/>
  <c r="C9"/>
  <c r="D14" i="1"/>
  <c r="A6" i="24"/>
  <c r="Z5"/>
  <c r="B5"/>
  <c r="U4"/>
  <c r="B4"/>
  <c r="U3"/>
  <c r="U2"/>
  <c r="B2"/>
  <c r="U26" i="23"/>
  <c r="U24"/>
  <c r="U22"/>
  <c r="A20"/>
  <c r="G17"/>
  <c r="H15"/>
  <c r="X5"/>
  <c r="B5"/>
  <c r="Q4"/>
  <c r="B4"/>
  <c r="R3"/>
  <c r="R2"/>
  <c r="B2"/>
  <c r="G21" i="22"/>
  <c r="M19"/>
  <c r="K19"/>
  <c r="J19"/>
  <c r="H19"/>
  <c r="F19"/>
  <c r="D19"/>
  <c r="C19"/>
  <c r="B19"/>
  <c r="M18"/>
  <c r="K18"/>
  <c r="J18"/>
  <c r="H18"/>
  <c r="F18"/>
  <c r="D18"/>
  <c r="C18"/>
  <c r="B18"/>
  <c r="M17"/>
  <c r="K17"/>
  <c r="J17"/>
  <c r="H17"/>
  <c r="F17"/>
  <c r="D17"/>
  <c r="C17"/>
  <c r="B17"/>
  <c r="M16"/>
  <c r="K16"/>
  <c r="J16"/>
  <c r="H16"/>
  <c r="F16"/>
  <c r="D16"/>
  <c r="C16"/>
  <c r="B16"/>
  <c r="M15"/>
  <c r="K15"/>
  <c r="J15"/>
  <c r="H15"/>
  <c r="F15"/>
  <c r="D15"/>
  <c r="C15"/>
  <c r="B15"/>
  <c r="M14"/>
  <c r="K14"/>
  <c r="J14"/>
  <c r="H14"/>
  <c r="F14"/>
  <c r="D14"/>
  <c r="C14"/>
  <c r="B14"/>
  <c r="M13"/>
  <c r="K13"/>
  <c r="J13"/>
  <c r="H13"/>
  <c r="F13"/>
  <c r="D13"/>
  <c r="C13"/>
  <c r="B13"/>
  <c r="M12"/>
  <c r="K12"/>
  <c r="J12"/>
  <c r="H12"/>
  <c r="F12"/>
  <c r="D12"/>
  <c r="C12"/>
  <c r="B12"/>
  <c r="F11"/>
  <c r="D11"/>
  <c r="F10"/>
  <c r="D10"/>
  <c r="F9"/>
  <c r="D9"/>
  <c r="M8"/>
  <c r="K8"/>
  <c r="J8"/>
  <c r="H8"/>
  <c r="F8"/>
  <c r="D8"/>
  <c r="C8"/>
  <c r="B8"/>
  <c r="B4"/>
  <c r="H3"/>
  <c r="B3"/>
  <c r="H2"/>
  <c r="H1"/>
  <c r="B1"/>
  <c r="X58" i="21"/>
  <c r="X56"/>
  <c r="X54"/>
  <c r="AC51"/>
  <c r="X51"/>
  <c r="T51"/>
  <c r="P51"/>
  <c r="L51"/>
  <c r="H51"/>
  <c r="D51"/>
  <c r="B51"/>
  <c r="AC50"/>
  <c r="X50"/>
  <c r="T50"/>
  <c r="P50"/>
  <c r="L50"/>
  <c r="H50"/>
  <c r="D50"/>
  <c r="B50"/>
  <c r="AC49"/>
  <c r="X49"/>
  <c r="T49"/>
  <c r="P49"/>
  <c r="L49"/>
  <c r="H49"/>
  <c r="D49"/>
  <c r="B49"/>
  <c r="Z42"/>
  <c r="X42"/>
  <c r="V42"/>
  <c r="T42"/>
  <c r="R42"/>
  <c r="P42"/>
  <c r="J42"/>
  <c r="G42"/>
  <c r="D42"/>
  <c r="Z40"/>
  <c r="X40"/>
  <c r="V40"/>
  <c r="T40"/>
  <c r="R40"/>
  <c r="P40"/>
  <c r="J40"/>
  <c r="G40"/>
  <c r="D40"/>
  <c r="Z38"/>
  <c r="X38"/>
  <c r="V38"/>
  <c r="T38"/>
  <c r="R38"/>
  <c r="P38"/>
  <c r="J38"/>
  <c r="G38"/>
  <c r="D38"/>
  <c r="Z36"/>
  <c r="X36"/>
  <c r="V36"/>
  <c r="T36"/>
  <c r="R36"/>
  <c r="P36"/>
  <c r="J36"/>
  <c r="G36"/>
  <c r="D36"/>
  <c r="Z34"/>
  <c r="X34"/>
  <c r="V34"/>
  <c r="T34"/>
  <c r="R34"/>
  <c r="P34"/>
  <c r="J34"/>
  <c r="G34"/>
  <c r="D34"/>
  <c r="Z32"/>
  <c r="X32"/>
  <c r="V32"/>
  <c r="T32"/>
  <c r="R32"/>
  <c r="P32"/>
  <c r="J32"/>
  <c r="G32"/>
  <c r="D32"/>
  <c r="Z30"/>
  <c r="X30"/>
  <c r="V30"/>
  <c r="T30"/>
  <c r="R30"/>
  <c r="P30"/>
  <c r="J30"/>
  <c r="G30"/>
  <c r="D30"/>
  <c r="Z28"/>
  <c r="X28"/>
  <c r="V28"/>
  <c r="T28"/>
  <c r="R28"/>
  <c r="P28"/>
  <c r="J28"/>
  <c r="G28"/>
  <c r="D28"/>
  <c r="Z26"/>
  <c r="X26"/>
  <c r="V26"/>
  <c r="T26"/>
  <c r="R26"/>
  <c r="P26"/>
  <c r="J26"/>
  <c r="G26"/>
  <c r="D26"/>
  <c r="Z24"/>
  <c r="X24"/>
  <c r="V24"/>
  <c r="T24"/>
  <c r="R24"/>
  <c r="P24"/>
  <c r="J24"/>
  <c r="G24"/>
  <c r="D24"/>
  <c r="A11"/>
  <c r="V9"/>
  <c r="P9"/>
  <c r="K9"/>
  <c r="F9"/>
  <c r="D9"/>
  <c r="B9"/>
  <c r="F17" i="1"/>
  <c r="A6" i="21"/>
  <c r="AA4"/>
  <c r="B4"/>
  <c r="V3"/>
  <c r="B3"/>
  <c r="V2"/>
  <c r="V1"/>
  <c r="B1"/>
  <c r="V60" i="20"/>
  <c r="V58"/>
  <c r="V56"/>
  <c r="A11"/>
  <c r="AB9"/>
  <c r="T9"/>
  <c r="L9"/>
  <c r="F16" i="1"/>
  <c r="A6" i="20"/>
  <c r="AA4"/>
  <c r="B4"/>
  <c r="V3"/>
  <c r="B3"/>
  <c r="V2"/>
  <c r="V1"/>
  <c r="B1"/>
  <c r="V38" i="19"/>
  <c r="V36"/>
  <c r="V34"/>
  <c r="AG31"/>
  <c r="Z31"/>
  <c r="V31"/>
  <c r="Q31"/>
  <c r="N31"/>
  <c r="J31"/>
  <c r="F31"/>
  <c r="C31"/>
  <c r="AG30"/>
  <c r="Z30"/>
  <c r="V30"/>
  <c r="Q30"/>
  <c r="N30"/>
  <c r="J30"/>
  <c r="F30"/>
  <c r="C30"/>
  <c r="AG29"/>
  <c r="Z29"/>
  <c r="V29"/>
  <c r="Q29"/>
  <c r="N29"/>
  <c r="J29"/>
  <c r="F29"/>
  <c r="C29"/>
  <c r="A12"/>
  <c r="AB10"/>
  <c r="T10"/>
  <c r="L10"/>
  <c r="F15" i="1"/>
  <c r="A6" i="19"/>
  <c r="AA4"/>
  <c r="B4"/>
  <c r="V3"/>
  <c r="B3"/>
  <c r="V2"/>
  <c r="V1"/>
  <c r="B1"/>
  <c r="X46" i="18"/>
  <c r="X44"/>
  <c r="X42"/>
  <c r="AF39"/>
  <c r="Z39"/>
  <c r="V39"/>
  <c r="R39"/>
  <c r="L39"/>
  <c r="H39"/>
  <c r="D39"/>
  <c r="B39"/>
  <c r="AF38"/>
  <c r="Z38"/>
  <c r="V38"/>
  <c r="R38"/>
  <c r="L38"/>
  <c r="H38"/>
  <c r="D38"/>
  <c r="B38"/>
  <c r="AF37"/>
  <c r="Z37"/>
  <c r="V37"/>
  <c r="R37"/>
  <c r="L37"/>
  <c r="H37"/>
  <c r="D37"/>
  <c r="B37"/>
  <c r="AF36"/>
  <c r="Z36"/>
  <c r="V36"/>
  <c r="R36"/>
  <c r="L36"/>
  <c r="H36"/>
  <c r="D36"/>
  <c r="B36"/>
  <c r="AF35"/>
  <c r="Z35"/>
  <c r="V35"/>
  <c r="R35"/>
  <c r="L35"/>
  <c r="H35"/>
  <c r="D35"/>
  <c r="B35"/>
  <c r="A10"/>
  <c r="V8"/>
  <c r="P8"/>
  <c r="K8"/>
  <c r="F8"/>
  <c r="D8"/>
  <c r="B8"/>
  <c r="F14" i="1"/>
  <c r="A5" i="18"/>
  <c r="Z4"/>
  <c r="B4"/>
  <c r="U3"/>
  <c r="B3"/>
  <c r="U2"/>
  <c r="U1"/>
  <c r="B1"/>
  <c r="Y74" i="17"/>
  <c r="Y72"/>
  <c r="Y70"/>
  <c r="P9"/>
  <c r="AB4"/>
  <c r="P4"/>
  <c r="A4"/>
  <c r="S3"/>
  <c r="P3"/>
  <c r="K3"/>
  <c r="A3"/>
  <c r="T2"/>
  <c r="P2"/>
  <c r="T1"/>
  <c r="P1"/>
  <c r="A1"/>
  <c r="AA42" i="16"/>
  <c r="AA40"/>
  <c r="AA38"/>
  <c r="AG33"/>
  <c r="AA33"/>
  <c r="W33"/>
  <c r="R33"/>
  <c r="O33"/>
  <c r="L33"/>
  <c r="H33"/>
  <c r="B33"/>
  <c r="AG32"/>
  <c r="AA32"/>
  <c r="W32"/>
  <c r="R32"/>
  <c r="O32"/>
  <c r="L32"/>
  <c r="H32"/>
  <c r="B32"/>
  <c r="AG31"/>
  <c r="AA31"/>
  <c r="W31"/>
  <c r="R31"/>
  <c r="O31"/>
  <c r="L31"/>
  <c r="H31"/>
  <c r="B31"/>
  <c r="AG26"/>
  <c r="A10"/>
  <c r="AG8"/>
  <c r="AC8"/>
  <c r="U8"/>
  <c r="Q8"/>
  <c r="N8"/>
  <c r="I8"/>
  <c r="B8"/>
  <c r="F13" i="1"/>
  <c r="A5" i="16"/>
  <c r="AE4"/>
  <c r="B4"/>
  <c r="Y3"/>
  <c r="B3"/>
  <c r="Y2"/>
  <c r="Y1"/>
  <c r="B1"/>
  <c r="X55" i="15"/>
  <c r="X51"/>
  <c r="AA37"/>
  <c r="V37"/>
  <c r="S37"/>
  <c r="P37"/>
  <c r="M37"/>
  <c r="I37"/>
  <c r="F37"/>
  <c r="B37"/>
  <c r="AA36"/>
  <c r="V36"/>
  <c r="S36"/>
  <c r="P36"/>
  <c r="M36"/>
  <c r="I36"/>
  <c r="F36"/>
  <c r="B36"/>
  <c r="AA35"/>
  <c r="V35"/>
  <c r="S35"/>
  <c r="P35"/>
  <c r="M35"/>
  <c r="I35"/>
  <c r="F35"/>
  <c r="B35"/>
  <c r="Z25"/>
  <c r="Z24"/>
  <c r="A10"/>
  <c r="Z8"/>
  <c r="P8"/>
  <c r="J8"/>
  <c r="F12" i="1"/>
  <c r="A5" i="15"/>
  <c r="Z4"/>
  <c r="B4"/>
  <c r="V3"/>
  <c r="B3"/>
  <c r="V2"/>
  <c r="V1"/>
  <c r="B1"/>
  <c r="AD60" i="14"/>
  <c r="AD58"/>
  <c r="AD56"/>
  <c r="AG52"/>
  <c r="AB52"/>
  <c r="X52"/>
  <c r="T52"/>
  <c r="P52"/>
  <c r="L52"/>
  <c r="H52"/>
  <c r="B52"/>
  <c r="AG51"/>
  <c r="AB51"/>
  <c r="X51"/>
  <c r="T51"/>
  <c r="P51"/>
  <c r="L51"/>
  <c r="H51"/>
  <c r="B51"/>
  <c r="AG50"/>
  <c r="AB50"/>
  <c r="X50"/>
  <c r="T50"/>
  <c r="P50"/>
  <c r="L50"/>
  <c r="H50"/>
  <c r="B50"/>
  <c r="AQ46"/>
  <c r="AH46"/>
  <c r="AE46"/>
  <c r="AC46"/>
  <c r="R46"/>
  <c r="Z46"/>
  <c r="L46"/>
  <c r="AQ45"/>
  <c r="AH45"/>
  <c r="AE45"/>
  <c r="AC45"/>
  <c r="R45"/>
  <c r="Z45"/>
  <c r="L45"/>
  <c r="AQ44"/>
  <c r="AH44"/>
  <c r="AE44"/>
  <c r="AC44"/>
  <c r="R44"/>
  <c r="Z44"/>
  <c r="L44"/>
  <c r="AQ43"/>
  <c r="AH43"/>
  <c r="AE43"/>
  <c r="AC43"/>
  <c r="R43"/>
  <c r="Z43"/>
  <c r="L43"/>
  <c r="AQ42"/>
  <c r="AH42"/>
  <c r="AE42"/>
  <c r="AC42"/>
  <c r="R42"/>
  <c r="Z42"/>
  <c r="L42"/>
  <c r="AQ41"/>
  <c r="AH41"/>
  <c r="AE41"/>
  <c r="AC41"/>
  <c r="R41"/>
  <c r="Z41"/>
  <c r="L41"/>
  <c r="AQ40"/>
  <c r="AH40"/>
  <c r="AE40"/>
  <c r="AC40"/>
  <c r="R40"/>
  <c r="Z40"/>
  <c r="L40"/>
  <c r="AQ39"/>
  <c r="AH39"/>
  <c r="AE39"/>
  <c r="AC39"/>
  <c r="R39"/>
  <c r="Z39"/>
  <c r="L39"/>
  <c r="AQ38"/>
  <c r="AH38"/>
  <c r="AE38"/>
  <c r="AC38"/>
  <c r="R38"/>
  <c r="Z38"/>
  <c r="L38"/>
  <c r="AQ37"/>
  <c r="AH37"/>
  <c r="AE37"/>
  <c r="AC37"/>
  <c r="R37"/>
  <c r="Z37"/>
  <c r="L37"/>
  <c r="AQ36"/>
  <c r="AH36"/>
  <c r="AE36"/>
  <c r="AC36"/>
  <c r="R36"/>
  <c r="Z36"/>
  <c r="L36"/>
  <c r="AQ35"/>
  <c r="AH35"/>
  <c r="AE35"/>
  <c r="AC35"/>
  <c r="R35"/>
  <c r="Z35"/>
  <c r="L35"/>
  <c r="A80" i="9"/>
  <c r="A77" i="11"/>
  <c r="A34" i="14"/>
  <c r="A58" i="9"/>
  <c r="A55" i="11"/>
  <c r="A33" i="14"/>
  <c r="AQ32"/>
  <c r="AH32"/>
  <c r="AE32"/>
  <c r="AC32"/>
  <c r="R32"/>
  <c r="Z32"/>
  <c r="L32"/>
  <c r="AQ31"/>
  <c r="AH31"/>
  <c r="AE31"/>
  <c r="AC31"/>
  <c r="R31"/>
  <c r="Z31"/>
  <c r="L31"/>
  <c r="A41" i="9"/>
  <c r="A38" i="11"/>
  <c r="A30" i="14"/>
  <c r="A40" i="9"/>
  <c r="A37" i="11"/>
  <c r="A29" i="14"/>
  <c r="AQ28"/>
  <c r="AH28"/>
  <c r="AE28"/>
  <c r="AC28"/>
  <c r="R28"/>
  <c r="Z28"/>
  <c r="L28"/>
  <c r="AQ27"/>
  <c r="AH27"/>
  <c r="AE27"/>
  <c r="AC27"/>
  <c r="R27"/>
  <c r="Z27"/>
  <c r="L27"/>
  <c r="AQ26"/>
  <c r="AH26"/>
  <c r="AE26"/>
  <c r="AC26"/>
  <c r="R26"/>
  <c r="Z26"/>
  <c r="L26"/>
  <c r="AQ25"/>
  <c r="AH25"/>
  <c r="AE25"/>
  <c r="AC25"/>
  <c r="R25"/>
  <c r="Z25"/>
  <c r="L25"/>
  <c r="AQ24"/>
  <c r="AH24"/>
  <c r="AE24"/>
  <c r="AC24"/>
  <c r="R24"/>
  <c r="Z24"/>
  <c r="L24"/>
  <c r="AQ23"/>
  <c r="AH23"/>
  <c r="AE23"/>
  <c r="AC23"/>
  <c r="R23"/>
  <c r="Z23"/>
  <c r="L23"/>
  <c r="AQ22"/>
  <c r="AH22"/>
  <c r="AE22"/>
  <c r="AC22"/>
  <c r="R22"/>
  <c r="Z22"/>
  <c r="L22"/>
  <c r="A23" i="9"/>
  <c r="A20" i="11"/>
  <c r="A21" i="14"/>
  <c r="A22" i="9"/>
  <c r="A19" i="11"/>
  <c r="A20" i="14"/>
  <c r="A10"/>
  <c r="AC8"/>
  <c r="U8"/>
  <c r="N8"/>
  <c r="D17" i="1"/>
  <c r="A5" i="14"/>
  <c r="AG4"/>
  <c r="B4"/>
  <c r="Z3"/>
  <c r="B3"/>
  <c r="Z2"/>
  <c r="Z1"/>
  <c r="B1"/>
  <c r="P44" i="13"/>
  <c r="P42"/>
  <c r="P40"/>
  <c r="AC31"/>
  <c r="X31"/>
  <c r="T31"/>
  <c r="P31"/>
  <c r="L31"/>
  <c r="H31"/>
  <c r="E31"/>
  <c r="B31"/>
  <c r="AC30"/>
  <c r="X30"/>
  <c r="T30"/>
  <c r="P30"/>
  <c r="L30"/>
  <c r="H30"/>
  <c r="E30"/>
  <c r="B30"/>
  <c r="AC29"/>
  <c r="X29"/>
  <c r="T29"/>
  <c r="P29"/>
  <c r="L29"/>
  <c r="H29"/>
  <c r="E29"/>
  <c r="B29"/>
  <c r="AC28"/>
  <c r="X28"/>
  <c r="T28"/>
  <c r="P28"/>
  <c r="L28"/>
  <c r="H28"/>
  <c r="E28"/>
  <c r="B28"/>
  <c r="C22"/>
  <c r="AP22"/>
  <c r="AK22"/>
  <c r="N22"/>
  <c r="V22"/>
  <c r="AI22"/>
  <c r="AG22"/>
  <c r="T22"/>
  <c r="AE22"/>
  <c r="Y22"/>
  <c r="W22"/>
  <c r="Q22"/>
  <c r="J22"/>
  <c r="C21"/>
  <c r="AP21"/>
  <c r="AK21"/>
  <c r="N21"/>
  <c r="V21"/>
  <c r="AI21"/>
  <c r="AG21"/>
  <c r="T21"/>
  <c r="AE21"/>
  <c r="Y21"/>
  <c r="W21"/>
  <c r="Q21"/>
  <c r="J21"/>
  <c r="A10"/>
  <c r="Y8"/>
  <c r="P8"/>
  <c r="E8"/>
  <c r="D16" i="1"/>
  <c r="A5" i="13"/>
  <c r="AC4"/>
  <c r="B4"/>
  <c r="W3"/>
  <c r="B3"/>
  <c r="W2"/>
  <c r="W1"/>
  <c r="B1"/>
  <c r="L44" i="12"/>
  <c r="L42"/>
  <c r="L40"/>
  <c r="Q30"/>
  <c r="O30"/>
  <c r="M30"/>
  <c r="K30"/>
  <c r="H30"/>
  <c r="F30"/>
  <c r="E30"/>
  <c r="B30"/>
  <c r="Q29"/>
  <c r="O29"/>
  <c r="M29"/>
  <c r="K29"/>
  <c r="H29"/>
  <c r="F29"/>
  <c r="E29"/>
  <c r="B29"/>
  <c r="Q28"/>
  <c r="O28"/>
  <c r="M28"/>
  <c r="K28"/>
  <c r="H28"/>
  <c r="F28"/>
  <c r="E28"/>
  <c r="B28"/>
  <c r="Q23"/>
  <c r="P23"/>
  <c r="O23"/>
  <c r="N23"/>
  <c r="M23"/>
  <c r="L23"/>
  <c r="K23"/>
  <c r="I23"/>
  <c r="H23"/>
  <c r="G23"/>
  <c r="D23"/>
  <c r="Q22"/>
  <c r="P22"/>
  <c r="O22"/>
  <c r="N22"/>
  <c r="M22"/>
  <c r="L22"/>
  <c r="K22"/>
  <c r="I22"/>
  <c r="H22"/>
  <c r="G22"/>
  <c r="D22"/>
  <c r="A11"/>
  <c r="O9"/>
  <c r="I9"/>
  <c r="E9"/>
  <c r="B9"/>
  <c r="D15" i="1"/>
  <c r="A6" i="12"/>
  <c r="P5"/>
  <c r="B5"/>
  <c r="M4"/>
  <c r="B4"/>
  <c r="M3"/>
  <c r="M2"/>
  <c r="B2"/>
  <c r="L116" i="11"/>
  <c r="L114"/>
  <c r="L112"/>
  <c r="Q103"/>
  <c r="O103"/>
  <c r="M103"/>
  <c r="K103"/>
  <c r="H103"/>
  <c r="F103"/>
  <c r="E103"/>
  <c r="B103"/>
  <c r="Q102"/>
  <c r="O102"/>
  <c r="M102"/>
  <c r="K102"/>
  <c r="H102"/>
  <c r="F102"/>
  <c r="E102"/>
  <c r="B102"/>
  <c r="Q101"/>
  <c r="O101"/>
  <c r="M101"/>
  <c r="K101"/>
  <c r="H101"/>
  <c r="F101"/>
  <c r="E101"/>
  <c r="B101"/>
  <c r="K97"/>
  <c r="F97"/>
  <c r="G97"/>
  <c r="Q97"/>
  <c r="P97"/>
  <c r="S97"/>
  <c r="M97"/>
  <c r="L97"/>
  <c r="J97"/>
  <c r="I97"/>
  <c r="H97"/>
  <c r="D97"/>
  <c r="A92"/>
  <c r="A93"/>
  <c r="A94"/>
  <c r="A95"/>
  <c r="A96"/>
  <c r="A97"/>
  <c r="M96"/>
  <c r="F96"/>
  <c r="G96"/>
  <c r="Q96"/>
  <c r="P96"/>
  <c r="S96"/>
  <c r="L96"/>
  <c r="K96"/>
  <c r="J96"/>
  <c r="I96"/>
  <c r="H96"/>
  <c r="D96"/>
  <c r="L95"/>
  <c r="F95"/>
  <c r="G95"/>
  <c r="Q95"/>
  <c r="P95"/>
  <c r="S95"/>
  <c r="M95"/>
  <c r="K95"/>
  <c r="J95"/>
  <c r="I95"/>
  <c r="H95"/>
  <c r="D95"/>
  <c r="K94"/>
  <c r="F94"/>
  <c r="G94"/>
  <c r="Q94"/>
  <c r="P94"/>
  <c r="S94"/>
  <c r="M94"/>
  <c r="L94"/>
  <c r="J94"/>
  <c r="I94"/>
  <c r="H94"/>
  <c r="D94"/>
  <c r="M93"/>
  <c r="F93"/>
  <c r="G93"/>
  <c r="Q93"/>
  <c r="P93"/>
  <c r="S93"/>
  <c r="L93"/>
  <c r="K93"/>
  <c r="J93"/>
  <c r="I93"/>
  <c r="H93"/>
  <c r="D93"/>
  <c r="L92"/>
  <c r="F92"/>
  <c r="G92"/>
  <c r="Q92"/>
  <c r="P92"/>
  <c r="S92"/>
  <c r="M92"/>
  <c r="K92"/>
  <c r="J92"/>
  <c r="I92"/>
  <c r="H92"/>
  <c r="D92"/>
  <c r="K91"/>
  <c r="F91"/>
  <c r="G91"/>
  <c r="Q91"/>
  <c r="P91"/>
  <c r="S91"/>
  <c r="M91"/>
  <c r="L91"/>
  <c r="J91"/>
  <c r="I91"/>
  <c r="H91"/>
  <c r="D91"/>
  <c r="A93" i="9"/>
  <c r="A90" i="11"/>
  <c r="M89"/>
  <c r="F89"/>
  <c r="G89"/>
  <c r="Q89"/>
  <c r="P89"/>
  <c r="S89"/>
  <c r="L89"/>
  <c r="K89"/>
  <c r="J89"/>
  <c r="I89"/>
  <c r="H89"/>
  <c r="D89"/>
  <c r="A79"/>
  <c r="A80"/>
  <c r="A81"/>
  <c r="A82"/>
  <c r="A83"/>
  <c r="A84"/>
  <c r="A85"/>
  <c r="A86"/>
  <c r="A87"/>
  <c r="A88"/>
  <c r="A89"/>
  <c r="L88"/>
  <c r="F88"/>
  <c r="G88"/>
  <c r="Q88"/>
  <c r="P88"/>
  <c r="S88"/>
  <c r="M88"/>
  <c r="K88"/>
  <c r="J88"/>
  <c r="I88"/>
  <c r="H88"/>
  <c r="D88"/>
  <c r="K87"/>
  <c r="F87"/>
  <c r="G87"/>
  <c r="Q87"/>
  <c r="P87"/>
  <c r="S87"/>
  <c r="M87"/>
  <c r="L87"/>
  <c r="J87"/>
  <c r="I87"/>
  <c r="H87"/>
  <c r="D87"/>
  <c r="M86"/>
  <c r="F86"/>
  <c r="G86"/>
  <c r="Q86"/>
  <c r="P86"/>
  <c r="S86"/>
  <c r="L86"/>
  <c r="K86"/>
  <c r="J86"/>
  <c r="I86"/>
  <c r="H86"/>
  <c r="D86"/>
  <c r="L85"/>
  <c r="F85"/>
  <c r="G85"/>
  <c r="Q85"/>
  <c r="P85"/>
  <c r="S85"/>
  <c r="M85"/>
  <c r="K85"/>
  <c r="J85"/>
  <c r="I85"/>
  <c r="H85"/>
  <c r="D85"/>
  <c r="K84"/>
  <c r="F84"/>
  <c r="G84"/>
  <c r="Q84"/>
  <c r="P84"/>
  <c r="S84"/>
  <c r="M84"/>
  <c r="L84"/>
  <c r="J84"/>
  <c r="I84"/>
  <c r="H84"/>
  <c r="D84"/>
  <c r="M83"/>
  <c r="F83"/>
  <c r="G83"/>
  <c r="Q83"/>
  <c r="P83"/>
  <c r="S83"/>
  <c r="L83"/>
  <c r="K83"/>
  <c r="J83"/>
  <c r="I83"/>
  <c r="H83"/>
  <c r="D83"/>
  <c r="L82"/>
  <c r="F82"/>
  <c r="G82"/>
  <c r="Q82"/>
  <c r="P82"/>
  <c r="S82"/>
  <c r="M82"/>
  <c r="K82"/>
  <c r="J82"/>
  <c r="I82"/>
  <c r="H82"/>
  <c r="D82"/>
  <c r="K81"/>
  <c r="F81"/>
  <c r="G81"/>
  <c r="Q81"/>
  <c r="P81"/>
  <c r="S81"/>
  <c r="M81"/>
  <c r="L81"/>
  <c r="J81"/>
  <c r="I81"/>
  <c r="H81"/>
  <c r="D81"/>
  <c r="M80"/>
  <c r="F80"/>
  <c r="G80"/>
  <c r="Q80"/>
  <c r="P80"/>
  <c r="S80"/>
  <c r="L80"/>
  <c r="K80"/>
  <c r="J80"/>
  <c r="I80"/>
  <c r="H80"/>
  <c r="D80"/>
  <c r="L79"/>
  <c r="F79"/>
  <c r="G79"/>
  <c r="Q79"/>
  <c r="P79"/>
  <c r="S79"/>
  <c r="M79"/>
  <c r="K79"/>
  <c r="J79"/>
  <c r="I79"/>
  <c r="H79"/>
  <c r="D79"/>
  <c r="K78"/>
  <c r="F78"/>
  <c r="G78"/>
  <c r="Q78"/>
  <c r="P78"/>
  <c r="S78"/>
  <c r="M78"/>
  <c r="L78"/>
  <c r="J78"/>
  <c r="I78"/>
  <c r="H78"/>
  <c r="D78"/>
  <c r="K76"/>
  <c r="F76"/>
  <c r="G76"/>
  <c r="Q76"/>
  <c r="P76"/>
  <c r="S76"/>
  <c r="M76"/>
  <c r="L76"/>
  <c r="J76"/>
  <c r="I76"/>
  <c r="H76"/>
  <c r="D76"/>
  <c r="A69"/>
  <c r="A70"/>
  <c r="A71"/>
  <c r="A72"/>
  <c r="A73"/>
  <c r="A74"/>
  <c r="A75"/>
  <c r="A76"/>
  <c r="M75"/>
  <c r="F75"/>
  <c r="G75"/>
  <c r="Q75"/>
  <c r="P75"/>
  <c r="S75"/>
  <c r="L75"/>
  <c r="K75"/>
  <c r="J75"/>
  <c r="I75"/>
  <c r="H75"/>
  <c r="D75"/>
  <c r="M74"/>
  <c r="F74"/>
  <c r="G74"/>
  <c r="Q74"/>
  <c r="P74"/>
  <c r="S74"/>
  <c r="L74"/>
  <c r="K74"/>
  <c r="J74"/>
  <c r="I74"/>
  <c r="H74"/>
  <c r="D74"/>
  <c r="K73"/>
  <c r="F73"/>
  <c r="G73"/>
  <c r="Q73"/>
  <c r="P73"/>
  <c r="S73"/>
  <c r="M73"/>
  <c r="L73"/>
  <c r="J73"/>
  <c r="I73"/>
  <c r="H73"/>
  <c r="D73"/>
  <c r="M72"/>
  <c r="F72"/>
  <c r="G72"/>
  <c r="Q72"/>
  <c r="P72"/>
  <c r="S72"/>
  <c r="L72"/>
  <c r="K72"/>
  <c r="J72"/>
  <c r="I72"/>
  <c r="H72"/>
  <c r="D72"/>
  <c r="L71"/>
  <c r="F71"/>
  <c r="G71"/>
  <c r="Q71"/>
  <c r="P71"/>
  <c r="S71"/>
  <c r="M71"/>
  <c r="K71"/>
  <c r="J71"/>
  <c r="I71"/>
  <c r="H71"/>
  <c r="D71"/>
  <c r="K70"/>
  <c r="F70"/>
  <c r="G70"/>
  <c r="Q70"/>
  <c r="P70"/>
  <c r="S70"/>
  <c r="M70"/>
  <c r="L70"/>
  <c r="J70"/>
  <c r="I70"/>
  <c r="H70"/>
  <c r="D70"/>
  <c r="M69"/>
  <c r="F69"/>
  <c r="G69"/>
  <c r="Q69"/>
  <c r="P69"/>
  <c r="S69"/>
  <c r="L69"/>
  <c r="K69"/>
  <c r="J69"/>
  <c r="I69"/>
  <c r="H69"/>
  <c r="D69"/>
  <c r="K68"/>
  <c r="F68"/>
  <c r="G68"/>
  <c r="Q68"/>
  <c r="P68"/>
  <c r="S68"/>
  <c r="M68"/>
  <c r="L68"/>
  <c r="J68"/>
  <c r="I68"/>
  <c r="H68"/>
  <c r="D68"/>
  <c r="A70" i="9"/>
  <c r="A67" i="11"/>
  <c r="K66"/>
  <c r="F66"/>
  <c r="G66"/>
  <c r="Q66"/>
  <c r="P66"/>
  <c r="S66"/>
  <c r="M66"/>
  <c r="L66"/>
  <c r="J66"/>
  <c r="I66"/>
  <c r="H66"/>
  <c r="D66"/>
  <c r="A58"/>
  <c r="A59"/>
  <c r="A60"/>
  <c r="A61"/>
  <c r="A62"/>
  <c r="A63"/>
  <c r="A64"/>
  <c r="A65"/>
  <c r="A66"/>
  <c r="K65"/>
  <c r="F65"/>
  <c r="G65"/>
  <c r="Q65"/>
  <c r="P65"/>
  <c r="S65"/>
  <c r="M65"/>
  <c r="L65"/>
  <c r="J65"/>
  <c r="I65"/>
  <c r="H65"/>
  <c r="D65"/>
  <c r="K64"/>
  <c r="F64"/>
  <c r="G64"/>
  <c r="Q64"/>
  <c r="P64"/>
  <c r="S64"/>
  <c r="M64"/>
  <c r="L64"/>
  <c r="J64"/>
  <c r="I64"/>
  <c r="H64"/>
  <c r="D64"/>
  <c r="K63"/>
  <c r="F63"/>
  <c r="G63"/>
  <c r="Q63"/>
  <c r="P63"/>
  <c r="S63"/>
  <c r="M63"/>
  <c r="L63"/>
  <c r="J63"/>
  <c r="I63"/>
  <c r="H63"/>
  <c r="D63"/>
  <c r="K62"/>
  <c r="F62"/>
  <c r="G62"/>
  <c r="Q62"/>
  <c r="P62"/>
  <c r="S62"/>
  <c r="M62"/>
  <c r="L62"/>
  <c r="J62"/>
  <c r="I62"/>
  <c r="H62"/>
  <c r="D62"/>
  <c r="K61"/>
  <c r="F61"/>
  <c r="G61"/>
  <c r="Q61"/>
  <c r="P61"/>
  <c r="S61"/>
  <c r="M61"/>
  <c r="L61"/>
  <c r="J61"/>
  <c r="I61"/>
  <c r="H61"/>
  <c r="D61"/>
  <c r="K60"/>
  <c r="F60"/>
  <c r="G60"/>
  <c r="Q60"/>
  <c r="P60"/>
  <c r="S60"/>
  <c r="M60"/>
  <c r="L60"/>
  <c r="J60"/>
  <c r="I60"/>
  <c r="H60"/>
  <c r="D60"/>
  <c r="K59"/>
  <c r="F59"/>
  <c r="G59"/>
  <c r="Q59"/>
  <c r="P59"/>
  <c r="S59"/>
  <c r="M59"/>
  <c r="L59"/>
  <c r="J59"/>
  <c r="I59"/>
  <c r="H59"/>
  <c r="D59"/>
  <c r="K58"/>
  <c r="F58"/>
  <c r="G58"/>
  <c r="Q58"/>
  <c r="P58"/>
  <c r="S58"/>
  <c r="M58"/>
  <c r="L58"/>
  <c r="J58"/>
  <c r="I58"/>
  <c r="H58"/>
  <c r="D58"/>
  <c r="K57"/>
  <c r="F57"/>
  <c r="G57"/>
  <c r="Q57"/>
  <c r="P57"/>
  <c r="S57"/>
  <c r="M57"/>
  <c r="L57"/>
  <c r="J57"/>
  <c r="I57"/>
  <c r="H57"/>
  <c r="D57"/>
  <c r="A59" i="9"/>
  <c r="A56" i="11"/>
  <c r="L54"/>
  <c r="F54"/>
  <c r="G54"/>
  <c r="Q54"/>
  <c r="P54"/>
  <c r="S54"/>
  <c r="M54"/>
  <c r="K54"/>
  <c r="J54"/>
  <c r="I54"/>
  <c r="H54"/>
  <c r="D54"/>
  <c r="A51"/>
  <c r="A52"/>
  <c r="A53"/>
  <c r="A54"/>
  <c r="K53"/>
  <c r="F53"/>
  <c r="G53"/>
  <c r="Q53"/>
  <c r="P53"/>
  <c r="S53"/>
  <c r="M53"/>
  <c r="L53"/>
  <c r="J53"/>
  <c r="I53"/>
  <c r="H53"/>
  <c r="D53"/>
  <c r="M52"/>
  <c r="F52"/>
  <c r="G52"/>
  <c r="Q52"/>
  <c r="P52"/>
  <c r="S52"/>
  <c r="L52"/>
  <c r="K52"/>
  <c r="J52"/>
  <c r="I52"/>
  <c r="H52"/>
  <c r="D52"/>
  <c r="L51"/>
  <c r="F51"/>
  <c r="G51"/>
  <c r="Q51"/>
  <c r="P51"/>
  <c r="S51"/>
  <c r="M51"/>
  <c r="K51"/>
  <c r="J51"/>
  <c r="I51"/>
  <c r="H51"/>
  <c r="D51"/>
  <c r="K50"/>
  <c r="F50"/>
  <c r="G50"/>
  <c r="Q50"/>
  <c r="P50"/>
  <c r="S50"/>
  <c r="M50"/>
  <c r="L50"/>
  <c r="J50"/>
  <c r="I50"/>
  <c r="H50"/>
  <c r="D50"/>
  <c r="A52" i="9"/>
  <c r="A49" i="11"/>
  <c r="L48"/>
  <c r="F48"/>
  <c r="G48"/>
  <c r="Q48"/>
  <c r="P48"/>
  <c r="S48"/>
  <c r="M48"/>
  <c r="K48"/>
  <c r="J48"/>
  <c r="I48"/>
  <c r="H48"/>
  <c r="D48"/>
  <c r="A40"/>
  <c r="A41"/>
  <c r="A42"/>
  <c r="A43"/>
  <c r="A44"/>
  <c r="A45"/>
  <c r="A46"/>
  <c r="A47"/>
  <c r="A48"/>
  <c r="K47"/>
  <c r="F47"/>
  <c r="G47"/>
  <c r="Q47"/>
  <c r="P47"/>
  <c r="S47"/>
  <c r="M47"/>
  <c r="L47"/>
  <c r="J47"/>
  <c r="I47"/>
  <c r="H47"/>
  <c r="D47"/>
  <c r="M46"/>
  <c r="F46"/>
  <c r="G46"/>
  <c r="Q46"/>
  <c r="P46"/>
  <c r="S46"/>
  <c r="L46"/>
  <c r="K46"/>
  <c r="J46"/>
  <c r="I46"/>
  <c r="H46"/>
  <c r="D46"/>
  <c r="L45"/>
  <c r="F45"/>
  <c r="G45"/>
  <c r="Q45"/>
  <c r="P45"/>
  <c r="S45"/>
  <c r="M45"/>
  <c r="K45"/>
  <c r="J45"/>
  <c r="I45"/>
  <c r="H45"/>
  <c r="D45"/>
  <c r="K44"/>
  <c r="F44"/>
  <c r="G44"/>
  <c r="Q44"/>
  <c r="P44"/>
  <c r="S44"/>
  <c r="M44"/>
  <c r="L44"/>
  <c r="J44"/>
  <c r="I44"/>
  <c r="H44"/>
  <c r="D44"/>
  <c r="M43"/>
  <c r="F43"/>
  <c r="G43"/>
  <c r="Q43"/>
  <c r="P43"/>
  <c r="S43"/>
  <c r="L43"/>
  <c r="K43"/>
  <c r="J43"/>
  <c r="I43"/>
  <c r="H43"/>
  <c r="D43"/>
  <c r="L42"/>
  <c r="F42"/>
  <c r="G42"/>
  <c r="Q42"/>
  <c r="P42"/>
  <c r="S42"/>
  <c r="M42"/>
  <c r="K42"/>
  <c r="J42"/>
  <c r="I42"/>
  <c r="H42"/>
  <c r="D42"/>
  <c r="K41"/>
  <c r="F41"/>
  <c r="G41"/>
  <c r="Q41"/>
  <c r="P41"/>
  <c r="S41"/>
  <c r="M41"/>
  <c r="L41"/>
  <c r="J41"/>
  <c r="I41"/>
  <c r="H41"/>
  <c r="D41"/>
  <c r="L40"/>
  <c r="F40"/>
  <c r="G40"/>
  <c r="Q40"/>
  <c r="P40"/>
  <c r="S40"/>
  <c r="M40"/>
  <c r="K40"/>
  <c r="J40"/>
  <c r="I40"/>
  <c r="H40"/>
  <c r="D40"/>
  <c r="K39"/>
  <c r="F39"/>
  <c r="G39"/>
  <c r="Q39"/>
  <c r="P39"/>
  <c r="S39"/>
  <c r="M39"/>
  <c r="L39"/>
  <c r="J39"/>
  <c r="I39"/>
  <c r="H39"/>
  <c r="D39"/>
  <c r="M36"/>
  <c r="F36"/>
  <c r="G36"/>
  <c r="Q36"/>
  <c r="P36"/>
  <c r="S36"/>
  <c r="L36"/>
  <c r="K36"/>
  <c r="J36"/>
  <c r="I36"/>
  <c r="H36"/>
  <c r="D36"/>
  <c r="A31"/>
  <c r="A32"/>
  <c r="A33"/>
  <c r="A34"/>
  <c r="A35"/>
  <c r="A36"/>
  <c r="L35"/>
  <c r="F35"/>
  <c r="G35"/>
  <c r="Q35"/>
  <c r="P35"/>
  <c r="S35"/>
  <c r="M35"/>
  <c r="K35"/>
  <c r="J35"/>
  <c r="I35"/>
  <c r="H35"/>
  <c r="D35"/>
  <c r="K34"/>
  <c r="F34"/>
  <c r="G34"/>
  <c r="Q34"/>
  <c r="P34"/>
  <c r="S34"/>
  <c r="M34"/>
  <c r="L34"/>
  <c r="J34"/>
  <c r="I34"/>
  <c r="H34"/>
  <c r="D34"/>
  <c r="M33"/>
  <c r="F33"/>
  <c r="G33"/>
  <c r="Q33"/>
  <c r="P33"/>
  <c r="S33"/>
  <c r="L33"/>
  <c r="K33"/>
  <c r="J33"/>
  <c r="I33"/>
  <c r="H33"/>
  <c r="D33"/>
  <c r="L32"/>
  <c r="F32"/>
  <c r="G32"/>
  <c r="Q32"/>
  <c r="P32"/>
  <c r="S32"/>
  <c r="M32"/>
  <c r="K32"/>
  <c r="J32"/>
  <c r="I32"/>
  <c r="H32"/>
  <c r="D32"/>
  <c r="L31"/>
  <c r="F31"/>
  <c r="G31"/>
  <c r="Q31"/>
  <c r="P31"/>
  <c r="S31"/>
  <c r="M31"/>
  <c r="K31"/>
  <c r="J31"/>
  <c r="I31"/>
  <c r="H31"/>
  <c r="D31"/>
  <c r="K30"/>
  <c r="F30"/>
  <c r="G30"/>
  <c r="Q30"/>
  <c r="P30"/>
  <c r="S30"/>
  <c r="M30"/>
  <c r="L30"/>
  <c r="J30"/>
  <c r="I30"/>
  <c r="H30"/>
  <c r="D30"/>
  <c r="A32" i="9"/>
  <c r="A29" i="11"/>
  <c r="L28"/>
  <c r="F28"/>
  <c r="G28"/>
  <c r="Q28"/>
  <c r="P28"/>
  <c r="S28"/>
  <c r="M28"/>
  <c r="K28"/>
  <c r="J28"/>
  <c r="I28"/>
  <c r="H28"/>
  <c r="D28"/>
  <c r="K27"/>
  <c r="F27"/>
  <c r="G27"/>
  <c r="Q27"/>
  <c r="P27"/>
  <c r="S27"/>
  <c r="M27"/>
  <c r="L27"/>
  <c r="J27"/>
  <c r="I27"/>
  <c r="H27"/>
  <c r="D27"/>
  <c r="M26"/>
  <c r="F26"/>
  <c r="G26"/>
  <c r="Q26"/>
  <c r="P26"/>
  <c r="S26"/>
  <c r="L26"/>
  <c r="K26"/>
  <c r="J26"/>
  <c r="I26"/>
  <c r="H26"/>
  <c r="D26"/>
  <c r="L25"/>
  <c r="F25"/>
  <c r="G25"/>
  <c r="Q25"/>
  <c r="P25"/>
  <c r="S25"/>
  <c r="M25"/>
  <c r="K25"/>
  <c r="J25"/>
  <c r="I25"/>
  <c r="H25"/>
  <c r="D25"/>
  <c r="K24"/>
  <c r="F24"/>
  <c r="G24"/>
  <c r="Q24"/>
  <c r="P24"/>
  <c r="S24"/>
  <c r="M24"/>
  <c r="L24"/>
  <c r="J24"/>
  <c r="I24"/>
  <c r="H24"/>
  <c r="D24"/>
  <c r="M23"/>
  <c r="F23"/>
  <c r="G23"/>
  <c r="Q23"/>
  <c r="P23"/>
  <c r="S23"/>
  <c r="L23"/>
  <c r="K23"/>
  <c r="J23"/>
  <c r="I23"/>
  <c r="H23"/>
  <c r="D23"/>
  <c r="L22"/>
  <c r="F22"/>
  <c r="G22"/>
  <c r="Q22"/>
  <c r="P22"/>
  <c r="S22"/>
  <c r="M22"/>
  <c r="K22"/>
  <c r="J22"/>
  <c r="I22"/>
  <c r="H22"/>
  <c r="D22"/>
  <c r="K21"/>
  <c r="F21"/>
  <c r="G21"/>
  <c r="Q21"/>
  <c r="P21"/>
  <c r="S21"/>
  <c r="M21"/>
  <c r="L21"/>
  <c r="J21"/>
  <c r="I21"/>
  <c r="H21"/>
  <c r="D21"/>
  <c r="A10"/>
  <c r="O8"/>
  <c r="K8"/>
  <c r="I8"/>
  <c r="F8"/>
  <c r="D8"/>
  <c r="B8"/>
  <c r="A5"/>
  <c r="P4"/>
  <c r="B4"/>
  <c r="M3"/>
  <c r="B3"/>
  <c r="M2"/>
  <c r="M1"/>
  <c r="B1"/>
  <c r="X37" i="10"/>
  <c r="X35"/>
  <c r="X33"/>
  <c r="AC30"/>
  <c r="X30"/>
  <c r="T30"/>
  <c r="P30"/>
  <c r="L30"/>
  <c r="H30"/>
  <c r="D30"/>
  <c r="B30"/>
  <c r="AC29"/>
  <c r="X29"/>
  <c r="T29"/>
  <c r="P29"/>
  <c r="L29"/>
  <c r="H29"/>
  <c r="D29"/>
  <c r="B29"/>
  <c r="AC28"/>
  <c r="X28"/>
  <c r="T28"/>
  <c r="P28"/>
  <c r="L28"/>
  <c r="H28"/>
  <c r="D28"/>
  <c r="B28"/>
  <c r="AC27"/>
  <c r="X27"/>
  <c r="T27"/>
  <c r="P27"/>
  <c r="L27"/>
  <c r="H27"/>
  <c r="D27"/>
  <c r="B27"/>
  <c r="AH23"/>
  <c r="AF23"/>
  <c r="AD23"/>
  <c r="AB23"/>
  <c r="Z23"/>
  <c r="X23"/>
  <c r="V23"/>
  <c r="T23"/>
  <c r="R23"/>
  <c r="P23"/>
  <c r="J23"/>
  <c r="G23"/>
  <c r="D23"/>
  <c r="A10"/>
  <c r="V8"/>
  <c r="P8"/>
  <c r="K8"/>
  <c r="F8"/>
  <c r="D8"/>
  <c r="B8"/>
  <c r="A5"/>
  <c r="Z4"/>
  <c r="B4"/>
  <c r="U3"/>
  <c r="B3"/>
  <c r="U2"/>
  <c r="U1"/>
  <c r="B1"/>
  <c r="X119" i="9"/>
  <c r="X117"/>
  <c r="X115"/>
  <c r="AC112"/>
  <c r="X112"/>
  <c r="T112"/>
  <c r="P112"/>
  <c r="L112"/>
  <c r="H112"/>
  <c r="D112"/>
  <c r="B112"/>
  <c r="AC111"/>
  <c r="X111"/>
  <c r="T111"/>
  <c r="P111"/>
  <c r="L111"/>
  <c r="H111"/>
  <c r="D111"/>
  <c r="B111"/>
  <c r="AC110"/>
  <c r="X110"/>
  <c r="T110"/>
  <c r="P110"/>
  <c r="L110"/>
  <c r="H110"/>
  <c r="D110"/>
  <c r="B110"/>
  <c r="AC109"/>
  <c r="X109"/>
  <c r="T109"/>
  <c r="P109"/>
  <c r="L109"/>
  <c r="H109"/>
  <c r="D109"/>
  <c r="B109"/>
  <c r="AH100"/>
  <c r="AF100"/>
  <c r="AD100"/>
  <c r="AB100"/>
  <c r="Z100"/>
  <c r="X100"/>
  <c r="V100"/>
  <c r="T100"/>
  <c r="R100"/>
  <c r="P100"/>
  <c r="J100"/>
  <c r="D100"/>
  <c r="A95"/>
  <c r="A96"/>
  <c r="A97"/>
  <c r="A98"/>
  <c r="A99"/>
  <c r="A100"/>
  <c r="AH99"/>
  <c r="AF99"/>
  <c r="AD99"/>
  <c r="AB99"/>
  <c r="Z99"/>
  <c r="X99"/>
  <c r="V99"/>
  <c r="T99"/>
  <c r="R99"/>
  <c r="P99"/>
  <c r="J99"/>
  <c r="G99"/>
  <c r="D99"/>
  <c r="AH98"/>
  <c r="AF98"/>
  <c r="AD98"/>
  <c r="AB98"/>
  <c r="Z98"/>
  <c r="X98"/>
  <c r="V98"/>
  <c r="T98"/>
  <c r="R98"/>
  <c r="P98"/>
  <c r="J98"/>
  <c r="G98"/>
  <c r="D98"/>
  <c r="AH97"/>
  <c r="AF97"/>
  <c r="AD97"/>
  <c r="AB97"/>
  <c r="Z97"/>
  <c r="X97"/>
  <c r="V97"/>
  <c r="T97"/>
  <c r="R97"/>
  <c r="P97"/>
  <c r="J97"/>
  <c r="G97"/>
  <c r="D97"/>
  <c r="AH96"/>
  <c r="AF96"/>
  <c r="AD96"/>
  <c r="AB96"/>
  <c r="Z96"/>
  <c r="X96"/>
  <c r="V96"/>
  <c r="T96"/>
  <c r="R96"/>
  <c r="P96"/>
  <c r="J96"/>
  <c r="G96"/>
  <c r="D96"/>
  <c r="AH95"/>
  <c r="AF95"/>
  <c r="AD95"/>
  <c r="AB95"/>
  <c r="Z95"/>
  <c r="X95"/>
  <c r="V95"/>
  <c r="T95"/>
  <c r="R95"/>
  <c r="P95"/>
  <c r="J95"/>
  <c r="G95"/>
  <c r="D95"/>
  <c r="AH94"/>
  <c r="AF94"/>
  <c r="AD94"/>
  <c r="AB94"/>
  <c r="Z94"/>
  <c r="X94"/>
  <c r="V94"/>
  <c r="T94"/>
  <c r="R94"/>
  <c r="P94"/>
  <c r="J94"/>
  <c r="G94"/>
  <c r="D94"/>
  <c r="AH92"/>
  <c r="AF92"/>
  <c r="AD92"/>
  <c r="AB92"/>
  <c r="Z92"/>
  <c r="X92"/>
  <c r="V92"/>
  <c r="T92"/>
  <c r="R92"/>
  <c r="P92"/>
  <c r="J92"/>
  <c r="G92"/>
  <c r="D92"/>
  <c r="A82"/>
  <c r="A83"/>
  <c r="A84"/>
  <c r="A85"/>
  <c r="A86"/>
  <c r="A87"/>
  <c r="A88"/>
  <c r="A89"/>
  <c r="A90"/>
  <c r="A91"/>
  <c r="A92"/>
  <c r="AH91"/>
  <c r="AF91"/>
  <c r="AD91"/>
  <c r="AB91"/>
  <c r="Z91"/>
  <c r="X91"/>
  <c r="V91"/>
  <c r="T91"/>
  <c r="R91"/>
  <c r="P91"/>
  <c r="J91"/>
  <c r="G91"/>
  <c r="D91"/>
  <c r="AH90"/>
  <c r="AF90"/>
  <c r="AD90"/>
  <c r="AB90"/>
  <c r="Z90"/>
  <c r="X90"/>
  <c r="V90"/>
  <c r="T90"/>
  <c r="R90"/>
  <c r="P90"/>
  <c r="J90"/>
  <c r="G90"/>
  <c r="D90"/>
  <c r="AH89"/>
  <c r="AF89"/>
  <c r="AD89"/>
  <c r="AB89"/>
  <c r="Z89"/>
  <c r="X89"/>
  <c r="V89"/>
  <c r="T89"/>
  <c r="R89"/>
  <c r="P89"/>
  <c r="J89"/>
  <c r="G89"/>
  <c r="D89"/>
  <c r="AH88"/>
  <c r="AF88"/>
  <c r="AD88"/>
  <c r="AB88"/>
  <c r="Z88"/>
  <c r="X88"/>
  <c r="V88"/>
  <c r="T88"/>
  <c r="R88"/>
  <c r="P88"/>
  <c r="J88"/>
  <c r="G88"/>
  <c r="D88"/>
  <c r="AH87"/>
  <c r="AF87"/>
  <c r="AD87"/>
  <c r="AB87"/>
  <c r="Z87"/>
  <c r="X87"/>
  <c r="V87"/>
  <c r="T87"/>
  <c r="R87"/>
  <c r="P87"/>
  <c r="J87"/>
  <c r="D87"/>
  <c r="AH86"/>
  <c r="AF86"/>
  <c r="AD86"/>
  <c r="AB86"/>
  <c r="Z86"/>
  <c r="X86"/>
  <c r="V86"/>
  <c r="T86"/>
  <c r="R86"/>
  <c r="P86"/>
  <c r="J86"/>
  <c r="D86"/>
  <c r="AH85"/>
  <c r="AF85"/>
  <c r="AD85"/>
  <c r="AB85"/>
  <c r="Z85"/>
  <c r="X85"/>
  <c r="V85"/>
  <c r="T85"/>
  <c r="R85"/>
  <c r="P85"/>
  <c r="J85"/>
  <c r="D85"/>
  <c r="AH84"/>
  <c r="AF84"/>
  <c r="AD84"/>
  <c r="AB84"/>
  <c r="Z84"/>
  <c r="X84"/>
  <c r="V84"/>
  <c r="T84"/>
  <c r="R84"/>
  <c r="P84"/>
  <c r="J84"/>
  <c r="D84"/>
  <c r="AH83"/>
  <c r="AF83"/>
  <c r="AD83"/>
  <c r="AB83"/>
  <c r="Z83"/>
  <c r="X83"/>
  <c r="V83"/>
  <c r="T83"/>
  <c r="R83"/>
  <c r="P83"/>
  <c r="J83"/>
  <c r="D83"/>
  <c r="AH82"/>
  <c r="AF82"/>
  <c r="AD82"/>
  <c r="AB82"/>
  <c r="Z82"/>
  <c r="X82"/>
  <c r="V82"/>
  <c r="T82"/>
  <c r="R82"/>
  <c r="P82"/>
  <c r="J82"/>
  <c r="D82"/>
  <c r="AH81"/>
  <c r="AF81"/>
  <c r="AD81"/>
  <c r="AB81"/>
  <c r="Z81"/>
  <c r="X81"/>
  <c r="V81"/>
  <c r="T81"/>
  <c r="R81"/>
  <c r="P81"/>
  <c r="J81"/>
  <c r="D81"/>
  <c r="AH79"/>
  <c r="AF79"/>
  <c r="AD79"/>
  <c r="AB79"/>
  <c r="Z79"/>
  <c r="X79"/>
  <c r="V79"/>
  <c r="T79"/>
  <c r="R79"/>
  <c r="P79"/>
  <c r="J79"/>
  <c r="G79"/>
  <c r="D79"/>
  <c r="A72"/>
  <c r="A73"/>
  <c r="A74"/>
  <c r="A75"/>
  <c r="A76"/>
  <c r="A77"/>
  <c r="A78"/>
  <c r="A79"/>
  <c r="AH78"/>
  <c r="AF78"/>
  <c r="AD78"/>
  <c r="AB78"/>
  <c r="Z78"/>
  <c r="X78"/>
  <c r="V78"/>
  <c r="T78"/>
  <c r="R78"/>
  <c r="P78"/>
  <c r="J78"/>
  <c r="D78"/>
  <c r="AH77"/>
  <c r="AF77"/>
  <c r="AD77"/>
  <c r="AB77"/>
  <c r="Z77"/>
  <c r="X77"/>
  <c r="V77"/>
  <c r="T77"/>
  <c r="R77"/>
  <c r="P77"/>
  <c r="J77"/>
  <c r="G77"/>
  <c r="D77"/>
  <c r="AH76"/>
  <c r="AF76"/>
  <c r="AD76"/>
  <c r="AB76"/>
  <c r="Z76"/>
  <c r="X76"/>
  <c r="V76"/>
  <c r="T76"/>
  <c r="R76"/>
  <c r="P76"/>
  <c r="J76"/>
  <c r="G76"/>
  <c r="D76"/>
  <c r="AH75"/>
  <c r="AF75"/>
  <c r="AD75"/>
  <c r="AB75"/>
  <c r="Z75"/>
  <c r="X75"/>
  <c r="V75"/>
  <c r="T75"/>
  <c r="R75"/>
  <c r="P75"/>
  <c r="J75"/>
  <c r="G75"/>
  <c r="D75"/>
  <c r="AH74"/>
  <c r="AF74"/>
  <c r="AD74"/>
  <c r="AB74"/>
  <c r="Z74"/>
  <c r="X74"/>
  <c r="V74"/>
  <c r="T74"/>
  <c r="R74"/>
  <c r="P74"/>
  <c r="J74"/>
  <c r="G74"/>
  <c r="D74"/>
  <c r="AH73"/>
  <c r="AF73"/>
  <c r="AD73"/>
  <c r="AB73"/>
  <c r="Z73"/>
  <c r="X73"/>
  <c r="V73"/>
  <c r="T73"/>
  <c r="R73"/>
  <c r="P73"/>
  <c r="J73"/>
  <c r="G73"/>
  <c r="D73"/>
  <c r="AH72"/>
  <c r="AF72"/>
  <c r="AD72"/>
  <c r="AB72"/>
  <c r="Z72"/>
  <c r="X72"/>
  <c r="V72"/>
  <c r="T72"/>
  <c r="R72"/>
  <c r="P72"/>
  <c r="J72"/>
  <c r="G72"/>
  <c r="D72"/>
  <c r="AH71"/>
  <c r="AF71"/>
  <c r="AD71"/>
  <c r="AB71"/>
  <c r="Z71"/>
  <c r="X71"/>
  <c r="V71"/>
  <c r="T71"/>
  <c r="R71"/>
  <c r="P71"/>
  <c r="J71"/>
  <c r="G71"/>
  <c r="D71"/>
  <c r="AH69"/>
  <c r="AF69"/>
  <c r="AD69"/>
  <c r="AB69"/>
  <c r="Z69"/>
  <c r="X69"/>
  <c r="V69"/>
  <c r="T69"/>
  <c r="R69"/>
  <c r="P69"/>
  <c r="J69"/>
  <c r="G69"/>
  <c r="D69"/>
  <c r="A61"/>
  <c r="A62"/>
  <c r="A63"/>
  <c r="A64"/>
  <c r="A65"/>
  <c r="A66"/>
  <c r="A67"/>
  <c r="A68"/>
  <c r="A69"/>
  <c r="AH68"/>
  <c r="AF68"/>
  <c r="AD68"/>
  <c r="AB68"/>
  <c r="Z68"/>
  <c r="X68"/>
  <c r="V68"/>
  <c r="T68"/>
  <c r="R68"/>
  <c r="P68"/>
  <c r="J68"/>
  <c r="G68"/>
  <c r="D68"/>
  <c r="AH67"/>
  <c r="AF67"/>
  <c r="AD67"/>
  <c r="AB67"/>
  <c r="Z67"/>
  <c r="X67"/>
  <c r="V67"/>
  <c r="T67"/>
  <c r="R67"/>
  <c r="P67"/>
  <c r="J67"/>
  <c r="G67"/>
  <c r="D67"/>
  <c r="AH66"/>
  <c r="AF66"/>
  <c r="AD66"/>
  <c r="AB66"/>
  <c r="Z66"/>
  <c r="X66"/>
  <c r="V66"/>
  <c r="T66"/>
  <c r="R66"/>
  <c r="P66"/>
  <c r="J66"/>
  <c r="G66"/>
  <c r="D66"/>
  <c r="AH65"/>
  <c r="AF65"/>
  <c r="AD65"/>
  <c r="AB65"/>
  <c r="Z65"/>
  <c r="X65"/>
  <c r="V65"/>
  <c r="T65"/>
  <c r="R65"/>
  <c r="P65"/>
  <c r="J65"/>
  <c r="G65"/>
  <c r="D65"/>
  <c r="AH64"/>
  <c r="AF64"/>
  <c r="AD64"/>
  <c r="AB64"/>
  <c r="Z64"/>
  <c r="X64"/>
  <c r="V64"/>
  <c r="T64"/>
  <c r="R64"/>
  <c r="P64"/>
  <c r="J64"/>
  <c r="G64"/>
  <c r="D64"/>
  <c r="AH63"/>
  <c r="AF63"/>
  <c r="AD63"/>
  <c r="AB63"/>
  <c r="Z63"/>
  <c r="X63"/>
  <c r="V63"/>
  <c r="T63"/>
  <c r="R63"/>
  <c r="P63"/>
  <c r="J63"/>
  <c r="G63"/>
  <c r="D63"/>
  <c r="AH62"/>
  <c r="AF62"/>
  <c r="AD62"/>
  <c r="AB62"/>
  <c r="Z62"/>
  <c r="X62"/>
  <c r="V62"/>
  <c r="T62"/>
  <c r="R62"/>
  <c r="P62"/>
  <c r="J62"/>
  <c r="G62"/>
  <c r="D62"/>
  <c r="AH61"/>
  <c r="AF61"/>
  <c r="AD61"/>
  <c r="AB61"/>
  <c r="Z61"/>
  <c r="X61"/>
  <c r="V61"/>
  <c r="T61"/>
  <c r="R61"/>
  <c r="P61"/>
  <c r="J61"/>
  <c r="G61"/>
  <c r="D61"/>
  <c r="AH60"/>
  <c r="AF60"/>
  <c r="AD60"/>
  <c r="AB60"/>
  <c r="Z60"/>
  <c r="X60"/>
  <c r="V60"/>
  <c r="T60"/>
  <c r="R60"/>
  <c r="P60"/>
  <c r="J60"/>
  <c r="G60"/>
  <c r="D60"/>
  <c r="AH57"/>
  <c r="AF57"/>
  <c r="AD57"/>
  <c r="AB57"/>
  <c r="Z57"/>
  <c r="X57"/>
  <c r="V57"/>
  <c r="T57"/>
  <c r="R57"/>
  <c r="P57"/>
  <c r="J57"/>
  <c r="G57"/>
  <c r="D57"/>
  <c r="A54"/>
  <c r="A55"/>
  <c r="A56"/>
  <c r="A57"/>
  <c r="AH56"/>
  <c r="AF56"/>
  <c r="AD56"/>
  <c r="AB56"/>
  <c r="Z56"/>
  <c r="X56"/>
  <c r="V56"/>
  <c r="T56"/>
  <c r="R56"/>
  <c r="P56"/>
  <c r="J56"/>
  <c r="G56"/>
  <c r="D56"/>
  <c r="AH55"/>
  <c r="AF55"/>
  <c r="AD55"/>
  <c r="AB55"/>
  <c r="Z55"/>
  <c r="X55"/>
  <c r="V55"/>
  <c r="T55"/>
  <c r="R55"/>
  <c r="P55"/>
  <c r="J55"/>
  <c r="G55"/>
  <c r="D55"/>
  <c r="AH54"/>
  <c r="AF54"/>
  <c r="AD54"/>
  <c r="AB54"/>
  <c r="Z54"/>
  <c r="X54"/>
  <c r="V54"/>
  <c r="T54"/>
  <c r="R54"/>
  <c r="P54"/>
  <c r="J54"/>
  <c r="G54"/>
  <c r="D54"/>
  <c r="AH53"/>
  <c r="AF53"/>
  <c r="AD53"/>
  <c r="AB53"/>
  <c r="Z53"/>
  <c r="X53"/>
  <c r="V53"/>
  <c r="T53"/>
  <c r="R53"/>
  <c r="P53"/>
  <c r="J53"/>
  <c r="G53"/>
  <c r="D53"/>
  <c r="AH51"/>
  <c r="AF51"/>
  <c r="AD51"/>
  <c r="AB51"/>
  <c r="Z51"/>
  <c r="X51"/>
  <c r="V51"/>
  <c r="T51"/>
  <c r="R51"/>
  <c r="P51"/>
  <c r="J51"/>
  <c r="G51"/>
  <c r="D51"/>
  <c r="A43"/>
  <c r="A44"/>
  <c r="A45"/>
  <c r="A46"/>
  <c r="A47"/>
  <c r="A48"/>
  <c r="A49"/>
  <c r="A50"/>
  <c r="A51"/>
  <c r="AH50"/>
  <c r="AF50"/>
  <c r="AD50"/>
  <c r="AB50"/>
  <c r="Z50"/>
  <c r="X50"/>
  <c r="V50"/>
  <c r="T50"/>
  <c r="R50"/>
  <c r="P50"/>
  <c r="J50"/>
  <c r="G50"/>
  <c r="D50"/>
  <c r="AH49"/>
  <c r="AF49"/>
  <c r="AD49"/>
  <c r="AB49"/>
  <c r="Z49"/>
  <c r="X49"/>
  <c r="V49"/>
  <c r="T49"/>
  <c r="R49"/>
  <c r="P49"/>
  <c r="J49"/>
  <c r="G49"/>
  <c r="D49"/>
  <c r="AH48"/>
  <c r="AF48"/>
  <c r="AD48"/>
  <c r="AB48"/>
  <c r="Z48"/>
  <c r="X48"/>
  <c r="V48"/>
  <c r="T48"/>
  <c r="R48"/>
  <c r="P48"/>
  <c r="J48"/>
  <c r="G48"/>
  <c r="D48"/>
  <c r="AH47"/>
  <c r="AF47"/>
  <c r="AD47"/>
  <c r="AB47"/>
  <c r="Z47"/>
  <c r="X47"/>
  <c r="V47"/>
  <c r="T47"/>
  <c r="R47"/>
  <c r="P47"/>
  <c r="J47"/>
  <c r="G47"/>
  <c r="D47"/>
  <c r="AH46"/>
  <c r="AF46"/>
  <c r="AD46"/>
  <c r="AB46"/>
  <c r="Z46"/>
  <c r="X46"/>
  <c r="V46"/>
  <c r="T46"/>
  <c r="R46"/>
  <c r="P46"/>
  <c r="J46"/>
  <c r="G46"/>
  <c r="D46"/>
  <c r="AH45"/>
  <c r="AF45"/>
  <c r="AD45"/>
  <c r="AB45"/>
  <c r="Z45"/>
  <c r="X45"/>
  <c r="V45"/>
  <c r="T45"/>
  <c r="R45"/>
  <c r="P45"/>
  <c r="J45"/>
  <c r="G45"/>
  <c r="D45"/>
  <c r="AH44"/>
  <c r="AF44"/>
  <c r="AD44"/>
  <c r="AB44"/>
  <c r="Z44"/>
  <c r="X44"/>
  <c r="V44"/>
  <c r="T44"/>
  <c r="R44"/>
  <c r="P44"/>
  <c r="J44"/>
  <c r="G44"/>
  <c r="D44"/>
  <c r="AH43"/>
  <c r="AF43"/>
  <c r="AD43"/>
  <c r="AB43"/>
  <c r="Z43"/>
  <c r="X43"/>
  <c r="V43"/>
  <c r="T43"/>
  <c r="R43"/>
  <c r="P43"/>
  <c r="J43"/>
  <c r="G43"/>
  <c r="D43"/>
  <c r="AH42"/>
  <c r="AF42"/>
  <c r="AD42"/>
  <c r="AB42"/>
  <c r="Z42"/>
  <c r="X42"/>
  <c r="V42"/>
  <c r="T42"/>
  <c r="R42"/>
  <c r="P42"/>
  <c r="J42"/>
  <c r="G42"/>
  <c r="D42"/>
  <c r="AH39"/>
  <c r="AF39"/>
  <c r="AD39"/>
  <c r="AB39"/>
  <c r="Z39"/>
  <c r="X39"/>
  <c r="V39"/>
  <c r="T39"/>
  <c r="R39"/>
  <c r="P39"/>
  <c r="J39"/>
  <c r="G39"/>
  <c r="D39"/>
  <c r="A34"/>
  <c r="A35"/>
  <c r="A36"/>
  <c r="A37"/>
  <c r="A38"/>
  <c r="A39"/>
  <c r="AH38"/>
  <c r="AF38"/>
  <c r="AD38"/>
  <c r="AB38"/>
  <c r="Z38"/>
  <c r="X38"/>
  <c r="V38"/>
  <c r="T38"/>
  <c r="R38"/>
  <c r="P38"/>
  <c r="J38"/>
  <c r="G38"/>
  <c r="D38"/>
  <c r="AH37"/>
  <c r="AF37"/>
  <c r="AD37"/>
  <c r="AB37"/>
  <c r="Z37"/>
  <c r="X37"/>
  <c r="V37"/>
  <c r="T37"/>
  <c r="R37"/>
  <c r="P37"/>
  <c r="J37"/>
  <c r="G37"/>
  <c r="D37"/>
  <c r="AH36"/>
  <c r="AF36"/>
  <c r="AD36"/>
  <c r="AB36"/>
  <c r="Z36"/>
  <c r="X36"/>
  <c r="V36"/>
  <c r="T36"/>
  <c r="R36"/>
  <c r="P36"/>
  <c r="J36"/>
  <c r="G36"/>
  <c r="D36"/>
  <c r="AH35"/>
  <c r="AF35"/>
  <c r="AD35"/>
  <c r="AB35"/>
  <c r="Z35"/>
  <c r="X35"/>
  <c r="V35"/>
  <c r="T35"/>
  <c r="R35"/>
  <c r="P35"/>
  <c r="J35"/>
  <c r="G35"/>
  <c r="D35"/>
  <c r="AH34"/>
  <c r="AF34"/>
  <c r="AD34"/>
  <c r="AB34"/>
  <c r="Z34"/>
  <c r="X34"/>
  <c r="V34"/>
  <c r="T34"/>
  <c r="R34"/>
  <c r="P34"/>
  <c r="J34"/>
  <c r="G34"/>
  <c r="D34"/>
  <c r="AH33"/>
  <c r="AF33"/>
  <c r="AD33"/>
  <c r="AB33"/>
  <c r="Z33"/>
  <c r="X33"/>
  <c r="V33"/>
  <c r="T33"/>
  <c r="R33"/>
  <c r="P33"/>
  <c r="J33"/>
  <c r="G33"/>
  <c r="D33"/>
  <c r="AH31"/>
  <c r="AF31"/>
  <c r="AD31"/>
  <c r="AB31"/>
  <c r="Z31"/>
  <c r="X31"/>
  <c r="V31"/>
  <c r="T31"/>
  <c r="R31"/>
  <c r="P31"/>
  <c r="J31"/>
  <c r="G31"/>
  <c r="D31"/>
  <c r="A25"/>
  <c r="A26"/>
  <c r="A27"/>
  <c r="A28"/>
  <c r="A29"/>
  <c r="A30"/>
  <c r="A31"/>
  <c r="AH30"/>
  <c r="AF30"/>
  <c r="AD30"/>
  <c r="AB30"/>
  <c r="Z30"/>
  <c r="X30"/>
  <c r="V30"/>
  <c r="T30"/>
  <c r="R30"/>
  <c r="P30"/>
  <c r="J30"/>
  <c r="G30"/>
  <c r="D30"/>
  <c r="AH29"/>
  <c r="AF29"/>
  <c r="AD29"/>
  <c r="AB29"/>
  <c r="Z29"/>
  <c r="X29"/>
  <c r="V29"/>
  <c r="T29"/>
  <c r="R29"/>
  <c r="P29"/>
  <c r="J29"/>
  <c r="G29"/>
  <c r="D29"/>
  <c r="AH28"/>
  <c r="AF28"/>
  <c r="AD28"/>
  <c r="AB28"/>
  <c r="Z28"/>
  <c r="X28"/>
  <c r="V28"/>
  <c r="T28"/>
  <c r="R28"/>
  <c r="P28"/>
  <c r="J28"/>
  <c r="G28"/>
  <c r="D28"/>
  <c r="AH27"/>
  <c r="AF27"/>
  <c r="AD27"/>
  <c r="AB27"/>
  <c r="Z27"/>
  <c r="X27"/>
  <c r="V27"/>
  <c r="T27"/>
  <c r="R27"/>
  <c r="P27"/>
  <c r="J27"/>
  <c r="G27"/>
  <c r="D27"/>
  <c r="AH26"/>
  <c r="AF26"/>
  <c r="AD26"/>
  <c r="AB26"/>
  <c r="Z26"/>
  <c r="X26"/>
  <c r="V26"/>
  <c r="T26"/>
  <c r="R26"/>
  <c r="P26"/>
  <c r="J26"/>
  <c r="G26"/>
  <c r="D26"/>
  <c r="AH25"/>
  <c r="AF25"/>
  <c r="AD25"/>
  <c r="AB25"/>
  <c r="Z25"/>
  <c r="X25"/>
  <c r="V25"/>
  <c r="T25"/>
  <c r="R25"/>
  <c r="P25"/>
  <c r="J25"/>
  <c r="G25"/>
  <c r="D25"/>
  <c r="AH24"/>
  <c r="AF24"/>
  <c r="AD24"/>
  <c r="AB24"/>
  <c r="Z24"/>
  <c r="X24"/>
  <c r="V24"/>
  <c r="T24"/>
  <c r="R24"/>
  <c r="P24"/>
  <c r="J24"/>
  <c r="G24"/>
  <c r="D24"/>
  <c r="A10"/>
  <c r="V8"/>
  <c r="P8"/>
  <c r="K8"/>
  <c r="F8"/>
  <c r="D8"/>
  <c r="B8"/>
  <c r="A5"/>
  <c r="Z4"/>
  <c r="B4"/>
  <c r="U3"/>
  <c r="B3"/>
  <c r="U2"/>
  <c r="U1"/>
  <c r="B1"/>
  <c r="V111" i="8"/>
  <c r="V109"/>
  <c r="V107"/>
  <c r="Z94"/>
  <c r="V94"/>
  <c r="S94"/>
  <c r="P94"/>
  <c r="M94"/>
  <c r="I94"/>
  <c r="F94"/>
  <c r="B94"/>
  <c r="Z93"/>
  <c r="V93"/>
  <c r="S93"/>
  <c r="P93"/>
  <c r="M93"/>
  <c r="I93"/>
  <c r="F93"/>
  <c r="B93"/>
  <c r="Z92"/>
  <c r="V92"/>
  <c r="S92"/>
  <c r="P92"/>
  <c r="M92"/>
  <c r="I92"/>
  <c r="F92"/>
  <c r="B92"/>
  <c r="A76"/>
  <c r="A77"/>
  <c r="A72"/>
  <c r="A73"/>
  <c r="A68"/>
  <c r="A69"/>
  <c r="A64"/>
  <c r="A65"/>
  <c r="A52"/>
  <c r="A53"/>
  <c r="A40"/>
  <c r="A41"/>
  <c r="A36"/>
  <c r="A37"/>
  <c r="A27"/>
  <c r="A28"/>
  <c r="A23"/>
  <c r="A24"/>
  <c r="A11"/>
  <c r="Y9"/>
  <c r="Q9"/>
  <c r="J9"/>
  <c r="D13" i="1"/>
  <c r="A5" i="8"/>
  <c r="Y4"/>
  <c r="B4"/>
  <c r="R3"/>
  <c r="B3"/>
  <c r="T2"/>
  <c r="T1"/>
  <c r="B1"/>
  <c r="V77" i="7"/>
  <c r="V75"/>
  <c r="V73"/>
  <c r="F72"/>
  <c r="D12" i="1"/>
  <c r="A5" i="7"/>
  <c r="X4"/>
  <c r="B4"/>
  <c r="Q3"/>
  <c r="B3"/>
  <c r="R2"/>
  <c r="R1"/>
  <c r="B1"/>
  <c r="A66" i="6"/>
  <c r="F25"/>
  <c r="R20"/>
  <c r="R17"/>
  <c r="F12"/>
  <c r="Q9"/>
  <c r="P4"/>
  <c r="P3"/>
  <c r="C3"/>
  <c r="G12" i="5"/>
  <c r="C12"/>
  <c r="B22" i="1"/>
  <c r="D22"/>
  <c r="N30" i="4"/>
  <c r="L13"/>
  <c r="K12"/>
  <c r="O11"/>
  <c r="L7"/>
  <c r="AD28" i="3"/>
  <c r="AE28"/>
  <c r="W23"/>
  <c r="AD11"/>
  <c r="AD12"/>
  <c r="AD13"/>
  <c r="AD14"/>
  <c r="AD15"/>
  <c r="AD16"/>
  <c r="AD17"/>
  <c r="AD18"/>
  <c r="AD19"/>
  <c r="AD20"/>
  <c r="AD21"/>
  <c r="AE21"/>
  <c r="AE20"/>
  <c r="AE19"/>
  <c r="AE18"/>
  <c r="AE17"/>
  <c r="AE16"/>
  <c r="AE15"/>
  <c r="AE14"/>
  <c r="AE13"/>
  <c r="AE12"/>
  <c r="AE11"/>
  <c r="AB4"/>
  <c r="B4"/>
  <c r="T3"/>
  <c r="B3"/>
  <c r="T2"/>
  <c r="U1"/>
  <c r="B1"/>
  <c r="B43" i="2"/>
  <c r="U41"/>
  <c r="L35"/>
  <c r="G31"/>
  <c r="B32" i="1"/>
  <c r="W30" i="2"/>
  <c r="W29"/>
  <c r="E26"/>
  <c r="J24"/>
  <c r="F23"/>
  <c r="H21"/>
  <c r="B17" i="1"/>
  <c r="T18" i="2"/>
  <c r="D18"/>
  <c r="Q16"/>
  <c r="Q15"/>
  <c r="AB12"/>
  <c r="AB8"/>
  <c r="AB6"/>
  <c r="B4"/>
  <c r="B3"/>
  <c r="B2"/>
</calcChain>
</file>

<file path=xl/sharedStrings.xml><?xml version="1.0" encoding="utf-8"?>
<sst xmlns="http://schemas.openxmlformats.org/spreadsheetml/2006/main" count="2976" uniqueCount="952">
  <si>
    <r>
      <t xml:space="preserve">Кратность тока срабатывания и время отключения защитных автоматов, указанных  в пунктах </t>
    </r>
    <r>
      <rPr>
        <sz val="10"/>
        <color indexed="10"/>
        <rFont val="Times New Roman"/>
        <family val="1"/>
        <charset val="204"/>
      </rPr>
      <t>1÷135</t>
    </r>
    <r>
      <rPr>
        <sz val="10"/>
        <color indexed="8"/>
        <rFont val="Times New Roman"/>
        <family val="1"/>
        <charset val="204"/>
      </rPr>
      <t xml:space="preserve"> соответствуют требованиям ПУЭ, п.1.8.39 п/п 4, п.1.7.79, табл. 1.7.1.</t>
    </r>
  </si>
  <si>
    <t xml:space="preserve">              (наименование организации, предприятия)</t>
  </si>
  <si>
    <t>проверки автоматических выключателей напряжением до 1000 В</t>
  </si>
  <si>
    <t xml:space="preserve">Прогрузка первичным током в соответствии с заводской инструкцией. ПУЭ п. 1.8.37. п.п. 3; ГОСТ Р 50345-2010; ГОСТ Р 50030.1-2010;
ГОСТ Р 50030.2-2010   </t>
  </si>
  <si>
    <t xml:space="preserve">Обозначение
 по схеме,
 место
 установки
</t>
  </si>
  <si>
    <t xml:space="preserve">Типовое обозначе-
ние (маркиров
ка)
</t>
  </si>
  <si>
    <t>Типы 
расцепителей</t>
  </si>
  <si>
    <t>Заданная выдержка
времени (для категор. В) (с)</t>
  </si>
  <si>
    <t>Номинальный ток (А)</t>
  </si>
  <si>
    <t>Уставка расцепителей</t>
  </si>
  <si>
    <t>Проверка расцепителя</t>
  </si>
  <si>
    <t>Высота
строки</t>
  </si>
  <si>
    <t xml:space="preserve"> перегрузки</t>
  </si>
  <si>
    <t>короткого замыкания</t>
  </si>
  <si>
    <t>токов перегрузки</t>
  </si>
  <si>
    <t>токов короткого замыкания</t>
  </si>
  <si>
    <t>токов перегрузки (А)</t>
  </si>
  <si>
    <t>токов короткого
замыкания (А)</t>
  </si>
  <si>
    <t>испытательный ток, (А)</t>
  </si>
  <si>
    <t xml:space="preserve">Время 
срабатыва
ния,
(с)
</t>
  </si>
  <si>
    <t>Длительность приложения
испытательного тока (с)</t>
  </si>
  <si>
    <t>испытательный ток несрабатывания, (А)</t>
  </si>
  <si>
    <t>реакция расцепителя, (+/-)</t>
  </si>
  <si>
    <t>испытательный ток срабатывания, (А)</t>
  </si>
  <si>
    <t xml:space="preserve">Допус-ти-
мое
</t>
  </si>
  <si>
    <t xml:space="preserve">Изме-
рен-
ное
</t>
  </si>
  <si>
    <t>2QF9</t>
  </si>
  <si>
    <t>ОВВ</t>
  </si>
  <si>
    <t xml:space="preserve">МД </t>
  </si>
  <si>
    <t>12
11
10</t>
  </si>
  <si>
    <t>для промышленных время=0,2</t>
  </si>
  <si>
    <t>QF8</t>
  </si>
  <si>
    <t>для бытовых время=0,1</t>
  </si>
  <si>
    <t>Заводской
номер</t>
  </si>
  <si>
    <t xml:space="preserve">1.1. ОВВ - максимальный расцепитель тока с обратно-зависимой выдержкой времени.  </t>
  </si>
  <si>
    <t>1.2. НВВ - максимальный расцепитель тока с независимой выдержкой времени.</t>
  </si>
  <si>
    <t>1.3. МД - максимальный расцепитель тока мгновенного действия.</t>
  </si>
  <si>
    <t>1.4. В,C,D, и т.д. – тип мгновенного расцепителя по ГОСТ Р 50345-2010.</t>
  </si>
  <si>
    <t>Выводы:</t>
  </si>
  <si>
    <r>
      <t>Результаты  измерений п.п №№</t>
    </r>
    <r>
      <rPr>
        <sz val="12"/>
        <color indexed="10"/>
        <rFont val="Times New Roman"/>
        <family val="1"/>
        <charset val="204"/>
      </rPr>
      <t>1÷22</t>
    </r>
    <r>
      <rPr>
        <sz val="12"/>
        <color indexed="8"/>
        <rFont val="Times New Roman"/>
        <family val="1"/>
        <charset val="204"/>
      </rPr>
      <t xml:space="preserve"> соответствует требованиям: прогрузка первичным током в соответствии с                                  </t>
    </r>
  </si>
  <si>
    <t xml:space="preserve">заводской инструкцией; ПУЭ п. 1.8.37. п.п. 3; ГОСТ Р 50345-2010; ГОСТ Р 50030.1-2010; ГОСТ Р 50030.2-2010                               </t>
  </si>
  <si>
    <t>Проверки и испытание выключателей автоматических, управляемых дифференциальным током (УЗО)</t>
  </si>
  <si>
    <t xml:space="preserve">ГОСТ 31 601.2.1-2012; ГОСТ 31 601.2.2-2012; 
ГОСТ 31 225.2.1-2012; ГОСТ 31 225.2.2-2012; ПТЭЭП и утверждённые методики. </t>
  </si>
  <si>
    <t>Типовое обозначение УЗО</t>
  </si>
  <si>
    <t>Место установки по проекту</t>
  </si>
  <si>
    <t>Протокол №5
 проверки защиты от
сверхтока (для АВДТ)</t>
  </si>
  <si>
    <t>Номинальный ток
нагрузки, А</t>
  </si>
  <si>
    <t>Вид дифференциального
тока, (А,АС)</t>
  </si>
  <si>
    <t>Номинальный дифференциальный не отключающий ток IΔо, синусоидальный (мА)</t>
  </si>
  <si>
    <t>Номинальный дифференциальный отключающий ток IΔн, синусоидальный (мА)</t>
  </si>
  <si>
    <t>Минимальное время неотключения при 2IΔн</t>
  </si>
  <si>
    <t>Испытательный ток не срабатывания (0,5 IΔн) мА</t>
  </si>
  <si>
    <t>Реакция расцепителя
дифференциального тока (+,-)</t>
  </si>
  <si>
    <t>Испытательный ток
срабатывания (IΔн) (мА)</t>
  </si>
  <si>
    <t>Время срабатывания tср при IΔн, (с)</t>
  </si>
  <si>
    <t>Iн.
Нагрузки</t>
  </si>
  <si>
    <t>Допусти-мое</t>
  </si>
  <si>
    <t>Измерен-
ное</t>
  </si>
  <si>
    <t>~220В</t>
  </si>
  <si>
    <t>АC</t>
  </si>
  <si>
    <t>DS941</t>
  </si>
  <si>
    <r>
      <t>Примечание:</t>
    </r>
    <r>
      <rPr>
        <b/>
        <u/>
        <sz val="12"/>
        <rFont val="Times New Roman"/>
        <family val="1"/>
        <charset val="204"/>
      </rPr>
      <t xml:space="preserve"> </t>
    </r>
  </si>
  <si>
    <t xml:space="preserve">УЗО, перечисленные  в п.п. №№ 1÷21соответствуют требованиям ГОСТ 31 601.2.1-2012; ГОСТ 31 601.2.2-2012; 
ГОСТ 31 225.2.1-2012; ГОСТ 31 225.2.2-2012; ПТЭЭП и утверждённым методикам. </t>
  </si>
  <si>
    <t xml:space="preserve">                        Заказчик:</t>
  </si>
  <si>
    <t xml:space="preserve">                        Объект:</t>
  </si>
  <si>
    <t xml:space="preserve">                        Адрес:</t>
  </si>
  <si>
    <r>
      <t xml:space="preserve">                        Дата проведения измерений</t>
    </r>
    <r>
      <rPr>
        <b/>
        <sz val="12"/>
        <rFont val="Times New Roman"/>
        <family val="1"/>
        <charset val="204"/>
      </rPr>
      <t xml:space="preserve"> до:</t>
    </r>
  </si>
  <si>
    <t>проверки  сопротивлений заземлителей и заземляющих устройств;</t>
  </si>
  <si>
    <t xml:space="preserve">   Влажность воздуха</t>
  </si>
  <si>
    <t xml:space="preserve">      Атмосферное давление</t>
  </si>
  <si>
    <t>Нормативные и технические документы, на соответствие требованиям которых проведены измерения (испытания): ПУЭ  1.8.39, п.5. таблица1.8.38</t>
  </si>
  <si>
    <t>1. Вид грунта: суглинок;</t>
  </si>
  <si>
    <t>2. Характер грунта: средней влажности;</t>
  </si>
  <si>
    <t xml:space="preserve">3. Заземляющее устройство применяется для электроустановки:  до 1000 в; </t>
  </si>
  <si>
    <t>4. Режим нейтрали: глухозаземленная;</t>
  </si>
  <si>
    <t>5. У дельное сопротивление грунта: не определялось;</t>
  </si>
  <si>
    <t>Назначение заземлителя, заземляющего устройства</t>
  </si>
  <si>
    <t>Место измерения</t>
  </si>
  <si>
    <t>Расстояние до потенциального электрода, (м)</t>
  </si>
  <si>
    <t>Расстояние до токового электрода, (м)</t>
  </si>
  <si>
    <t>Сопротивление заземлителей (заземляющих устройств), (Ом)</t>
  </si>
  <si>
    <t>К попр.</t>
  </si>
  <si>
    <t>Доп.</t>
  </si>
  <si>
    <t>Измер.</t>
  </si>
  <si>
    <t>Привед.</t>
  </si>
  <si>
    <t>Контур рабочезащитного заземляющего устройства и молниезащиты</t>
  </si>
  <si>
    <t>Вывод контура рабочезащитного заземляющего устройства и молниезащиты</t>
  </si>
  <si>
    <t>Контур рабочезащитного заземляющего устройства</t>
  </si>
  <si>
    <t>Ввод в здание (шина ГЗШ)</t>
  </si>
  <si>
    <t>Орган гос. метрологической службы,
проводивший поверку.</t>
  </si>
  <si>
    <t xml:space="preserve">Примечание: </t>
  </si>
  <si>
    <t>*обрыв заземляющих проводников (шин) в следствие коррозии;</t>
  </si>
  <si>
    <t xml:space="preserve">а) к протоколу прилагаются схемы, по которым проводились измерения. </t>
  </si>
  <si>
    <t>б) ввод в здание шин от контуров заземления не обозначен соответствующим знаком. ПУЭ, п.1.7.118. 
в)полоса от контура заземляющего устройства не окрашена в чёрный цвет и подвержена коррозии.
Открыто проложенные заземляющие проводники должны быть предохранены от коррозии и окрашены в черный цвет. ПТЭЭП п.2.7.7</t>
  </si>
  <si>
    <t>г) измерение сопротивления заземляющего устройства проводилось с учётом      
естественных заземлителей, повторных заземлителей отходящих линий и 
присоединённой глухозаземлённой нейтрали питающей линии;</t>
  </si>
  <si>
    <t xml:space="preserve">д) измерение сопротивления контура повторного заземления проводилось непосредственно на шине ГЗШ, с учётом естественных заземлителей, повторных  заземлителей отходящих линий и присоединённой глухозаземлённой нейтрали питающей линии, т.к. ввод в здание шины от контура повторного заземления не  доступен для осмотра и измерений, а также не обозначен соответствующим знаком. ПУЭ, п.1.7.118. </t>
  </si>
  <si>
    <r>
      <rPr>
        <b/>
        <sz val="12"/>
        <rFont val="Times New Roman"/>
        <family val="1"/>
        <charset val="204"/>
      </rPr>
      <t>Заключение: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Результаты измерений п.п. №№</t>
    </r>
    <r>
      <rPr>
        <sz val="12"/>
        <color indexed="10"/>
        <rFont val="Times New Roman"/>
        <family val="1"/>
        <charset val="204"/>
      </rPr>
      <t>1÷3</t>
    </r>
    <r>
      <rPr>
        <sz val="12"/>
        <color indexed="8"/>
        <rFont val="Times New Roman"/>
        <family val="1"/>
        <charset val="204"/>
      </rPr>
      <t xml:space="preserve"> соответствуют ПУЭ  1.8.39, п.5, таблица 1.8.38.  </t>
    </r>
  </si>
  <si>
    <t xml:space="preserve">    Протокол проверил:</t>
  </si>
  <si>
    <t>проверки  сопротивлений заземлителей и заземляющих устройств молниезащиты</t>
  </si>
  <si>
    <t>Нормативные и технические документы, на соответствие требованиям которых проведены измерения (испытания): 
РД34.21.122-87, п.2.26 и ПУЭ  1.8.39. таблица1.8.38</t>
  </si>
  <si>
    <r>
      <t xml:space="preserve">1. Вид грунта: </t>
    </r>
    <r>
      <rPr>
        <u/>
        <sz val="12"/>
        <rFont val="Times New Roman"/>
        <family val="1"/>
        <charset val="204"/>
      </rPr>
      <t xml:space="preserve">суглинок;________________________________________________________________________________________     ____ </t>
    </r>
  </si>
  <si>
    <r>
      <t xml:space="preserve">2. Характер грунта: </t>
    </r>
    <r>
      <rPr>
        <u/>
        <sz val="12"/>
        <rFont val="Times New Roman"/>
        <family val="1"/>
        <charset val="204"/>
      </rPr>
      <t xml:space="preserve">средней влажности;__________________________________________________________________________________ </t>
    </r>
  </si>
  <si>
    <t>(влажный, средней влажности, сухой)</t>
  </si>
  <si>
    <r>
      <t>3. Кол-во осадков, предшествующее моменту измерения в течение 3-х дней:</t>
    </r>
    <r>
      <rPr>
        <u/>
        <sz val="12"/>
        <rFont val="Times New Roman"/>
        <family val="1"/>
        <charset val="204"/>
      </rPr>
      <t>________незначительные_____________________________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</si>
  <si>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(очень большие, большие, незначительные)</t>
  </si>
  <si>
    <r>
      <t>4. Категория защиты:</t>
    </r>
    <r>
      <rPr>
        <u/>
        <sz val="12"/>
        <rFont val="Times New Roman"/>
        <family val="1"/>
        <charset val="204"/>
      </rPr>
      <t>________________________________________III_______________________________________________________</t>
    </r>
  </si>
  <si>
    <t>(1, 2, 3)</t>
  </si>
  <si>
    <t>Тип молниеприёмника,
 их количество</t>
  </si>
  <si>
    <t>Кол-во
токоотводов</t>
  </si>
  <si>
    <t>Тип ЗУ
(совмещённое, отдельное)</t>
  </si>
  <si>
    <t>Сечение
 (диаметр)
токоотводов</t>
  </si>
  <si>
    <t>Состояние сварных соединений</t>
  </si>
  <si>
    <t>Rпер. болтовых соединений</t>
  </si>
  <si>
    <t>Сопротивление ЗУ</t>
  </si>
  <si>
    <t>Заключение</t>
  </si>
  <si>
    <t xml:space="preserve">в воздухе </t>
  </si>
  <si>
    <t>в земле</t>
  </si>
  <si>
    <t>Молниеприёмная сетка</t>
  </si>
  <si>
    <t>совмещённое</t>
  </si>
  <si>
    <t>проволока Ø8мм</t>
  </si>
  <si>
    <t>Ст.40х4</t>
  </si>
  <si>
    <t>удовл.</t>
  </si>
  <si>
    <t>сварка</t>
  </si>
  <si>
    <t>Соответствует РД34.21.122-87, п.2.26.</t>
  </si>
  <si>
    <r>
      <rPr>
        <b/>
        <sz val="12"/>
        <rFont val="Times New Roman"/>
        <family val="1"/>
        <charset val="204"/>
      </rPr>
      <t>Заключение: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Результаты измерений п.п. №№</t>
    </r>
    <r>
      <rPr>
        <sz val="12"/>
        <color indexed="10"/>
        <rFont val="Times New Roman"/>
        <family val="1"/>
        <charset val="204"/>
      </rPr>
      <t xml:space="preserve">1 </t>
    </r>
    <r>
      <rPr>
        <sz val="12"/>
        <color indexed="8"/>
        <rFont val="Times New Roman"/>
        <family val="1"/>
        <charset val="204"/>
      </rPr>
      <t xml:space="preserve">соответствуют РД34.21.122-87, п.2.26 и ПУЭ  1.8.39, п.5, таблица 1.8.38.  </t>
    </r>
  </si>
  <si>
    <t xml:space="preserve">Узлы сетки должны быть соединены сваркой. п.2.11, 
Соединения элементов молниеотводов допускаются сварные и болтовые. п.2.30.
Все соединения молниеприемников с токоотводами должны быть выполнены сваркой. п.2.31.
3.4. Соединения молниеприемников с токоотводами и токоотводов с заземлителями должны выполняться, как правило, сваркой, а при недопустимости огневых работ разрешается выполнение болтовых соединений с переходным сопротивлением не более 0,05 Ом при обязательном ежегодном контроле последнего перед началом грозового сезона.
ПО УСТРОЙСТВУ МОЛНИЕЗАЩИТЫ ЗДАНИЙ И СООРУЖЕНИЙ. РД 34.21.122-87
</t>
  </si>
  <si>
    <t xml:space="preserve">            ПТЭЭП, п.1.7.2.: Устройство электроустановок должно соответствовать требованиям Правил устройства электроустановок,     строительных норм и правил, государственных стандартов, Правил безопасности труда и другой нормативно-технической документации.
            Организация эксплуатации и ремонта электроустановок должна соответствовать требованиям настоящих Правил, государственных стандартов, Правил безопасности при эксплуатации электроустановок и других нормативных актов по охране труда и технике безопасности. 
            ПТЭЭП, п.3.6.24.: Электрооборудование, забракованное при внешнем осмотре, независимо от результатов испытаний и измерений должно быть заменено или отремонтировано.  </t>
  </si>
  <si>
    <t>ВЕДОМОСТЬ ДЕФЕКТОВ</t>
  </si>
  <si>
    <t>по состоянию на</t>
  </si>
  <si>
    <t>№/№
п./п.</t>
  </si>
  <si>
    <t>Элемент электрооборудования, электроустановки.</t>
  </si>
  <si>
    <t>Наименование дефекта</t>
  </si>
  <si>
    <t>Проектная документация</t>
  </si>
  <si>
    <t>Представленный проект соответствует НПД по эл. установкам жилых и общественных зданий. (СП 256.1325800-2016).
Изменения в электроустановке, выполненные в процессе эл. монтажа не отражены в представленном проекте. 
 ПТЭЭП, п.1.8.3, п.1.8.4.</t>
  </si>
  <si>
    <t>Эксплуатационная документация</t>
  </si>
  <si>
    <t>В однолинейных эл. схемах и таблицах потребителей не внесены изменения. ПТЭЭП, п.1.8.3, п.1.8.4.
Соответствие электрических схем фактическим эксплуатационным должны проверяться не реже 1 раза в 2 года с отметкой на них о проверке. ПТЭЭП, п.1.8.5.</t>
  </si>
  <si>
    <t>Вент. камера</t>
  </si>
  <si>
    <t>Кабельные линии</t>
  </si>
  <si>
    <t>Места прохода проводов кабелей через стены, междуэтажные перекрытия или выхода их наружу не соответствуют требованиям ПУЭ, п.2.1.58. (распространение огня).</t>
  </si>
  <si>
    <t>Мет. закладные трубы для прокладки кабелей</t>
  </si>
  <si>
    <t>Имеют режущие кромки, способные привести к повреждению изоляции кабелей и эл. проводки. ГОСТ Р 52868-2007 (МЭК 61537:2006), п.9.2</t>
  </si>
  <si>
    <t>Основная и дополнительная системы уравнивания потенциалов</t>
  </si>
  <si>
    <t>Не выполнены.</t>
  </si>
  <si>
    <t>Смежные помещения (уровень вент. камеры)</t>
  </si>
  <si>
    <t>Монтаж эл. оборудования, прокладка и подключение кабелей, установка оконечных устройств и эл. установочных изделий не закончены.</t>
  </si>
  <si>
    <t>Отсутствует дверь щита</t>
  </si>
  <si>
    <t>За дверью отсутствует защитное ограждение, закрывающее полностью или частично наиболее опасные места, для исключения случайного прикосновения к неизолированным токоведущим частям в направлении обычного доступа к аппаратам. ГОСТ 32396-2013, п.6.2.23.</t>
  </si>
  <si>
    <r>
      <t>Щит подключен по временной схеме, кабелем ВВГнг-ls 5х25мм</t>
    </r>
    <r>
      <rPr>
        <vertAlign val="superscript"/>
        <sz val="12"/>
        <rFont val="Times New Roman"/>
        <family val="1"/>
        <charset val="204"/>
      </rPr>
      <t>2</t>
    </r>
  </si>
  <si>
    <t xml:space="preserve">Отсутствует маркировка входящей и отходящих групповых кабельных линий в щите. ПТЭЭП п.2.4.5. </t>
  </si>
  <si>
    <t>Наращивание и соединение кабелей частично выполнено вне распаечных коробок, скрутками.</t>
  </si>
  <si>
    <t>Часть кабелей подключены по временной схеме, без РЕ проводников.</t>
  </si>
  <si>
    <t>В щите отсутствует защитная панель.</t>
  </si>
  <si>
    <t>В щите отсутствует какая бы то ни была маркировка, за исключением порядковых № авт. выключателей.</t>
  </si>
  <si>
    <t>Зажимы для РЕ и N проводников отходящих распределительных и групповых цепей следует маркировать порядковыми номерами. ГОСТ 32396-2013, п.6.4.6.</t>
  </si>
  <si>
    <t xml:space="preserve">На шинах N и РЕ имеются присоединения по два проводника под один зажим. 
Для каждого нулевого рабочего проводника и нулевого защитного проводника  должен быть отдельный зажим.
ГОСТ 32396-2013, п.6.4.5 и ГОСТ 32395-2013, п.6.3.6. </t>
  </si>
  <si>
    <t>Не выполнена блокировка устройств вентиляции при пожаре по сигналу от АПС. СП7.13130-2013, п.6.24.</t>
  </si>
  <si>
    <t xml:space="preserve">Отсутствует маркировка входящей кабельнй линии в щите. ПТЭЭП п.2.4.5. </t>
  </si>
  <si>
    <t>Прокладка групповых линий к щиту не выполнена.</t>
  </si>
  <si>
    <t>Тренажёрный зал</t>
  </si>
  <si>
    <t>Отсутствует заглушки в резервных отверстиях для ввода кабелей</t>
  </si>
  <si>
    <t>В щите имеются промежуточные соединения, выполненные скрутками.</t>
  </si>
  <si>
    <t>Крепление двери в щите сломано.</t>
  </si>
  <si>
    <t>Антресоль</t>
  </si>
  <si>
    <t>Имеют режущие кромки, способные привести к повреждению изоляции кабелей и эл. проводки. ГОСТ Р 52868-2007 (МЭК 61537.2006), п.9.2</t>
  </si>
  <si>
    <t>Общие замечания</t>
  </si>
  <si>
    <t>Провода и кабели, прокладываемые в коробах и на лотках, должны иметь маркировку в начале и конце лотков и коробов, а также в местах подключения их к электрооборудованию, а кабели, кроме того, также на поворотах трассы и на ответвлениях.Маркировка проводов и кабелей не соответствует СНиП 3.05.06-85. п.3.22.</t>
  </si>
  <si>
    <t>Щиты распределительные</t>
  </si>
  <si>
    <t>В щитах пыль и грязь.</t>
  </si>
  <si>
    <t>Система аварийного освещения</t>
  </si>
  <si>
    <t>Выполнена не полностью (не установлены оконечные устройства, т.е. светильники)</t>
  </si>
  <si>
    <t>На лестничных пролётах отсутствует система аврийного освещения.</t>
  </si>
  <si>
    <t>ДСУП</t>
  </si>
  <si>
    <t xml:space="preserve">В помещениях душевых, с/у, раздевалок ДСУП не выполнена. 
Указанные помещения относятся к помещениям с повышенной и  особой опасностью. В этом случае в электроустановке, в соответствии с указаниями пункта 1.7.79 ПУЭ, следует выполнить дополнительное уравнивание потенциалов.
К дополнительной системе уравнивания потенциалов должны быть подключены все доступные прикосновению открытые проводящие части стационарных электроустановок, сторонние проводящие части и нулевые защитные проводники всего электрооборудования (в том числе штепсельных розеток).
Дополнительное уравнивание выполняется в соответствии с указаниями пункта 1.7.83 ПУЭ. 
Одним из возможных технических решений при выполнении дополнительного уравнивания потенциалов является прокладка магистрального проводника (шины), соединенного с РЕ-шиной распределительного щита, по периметру помещения для присоединения открытых и сторонних проводящих частей оборудования. </t>
  </si>
  <si>
    <t xml:space="preserve">Заземление и уравнивание потенциалов мет. лотков для прокладки кабелей </t>
  </si>
  <si>
    <t>Переходное сопротивление контактных соединений, подключаемых РЕ проводников превышают нормируемые величины, т.к. проводники не затянуты и болтаются по всем трассам лотков.</t>
  </si>
  <si>
    <t>Распаечные коробки</t>
  </si>
  <si>
    <t>Частично отсутствует маркировка.</t>
  </si>
  <si>
    <t>Испытания</t>
  </si>
  <si>
    <t>При проверке наличия  цепи  между  заземленными  установками и  элементами  заземленной  установки, выявлено  несоответствие  требованиям  ПТЭЭП, табл. 28, пункт 28.5.
Смотри протокол проверки №505-2.</t>
  </si>
  <si>
    <t>Осмотр провели:</t>
  </si>
  <si>
    <t>рук. эл. лаборатории</t>
  </si>
  <si>
    <t>Ведомость дефектов   
проверил:</t>
  </si>
  <si>
    <t>проверки работоспособности системы АВР</t>
  </si>
  <si>
    <t>Паспорт АВР</t>
  </si>
  <si>
    <t>1.  Результаты проверки:</t>
  </si>
  <si>
    <t>Типовое обозначение АВР, место установки</t>
  </si>
  <si>
    <t>Тип реле контроля фаз</t>
  </si>
  <si>
    <t>Тип силовых контакторов (секционных выключателей)</t>
  </si>
  <si>
    <t>Напряжение срабатывания реле контроля фаз</t>
  </si>
  <si>
    <t>Время (задержка по времени) отключения основного ввода</t>
  </si>
  <si>
    <t>Время переключения с основного ввода на резервный (с)</t>
  </si>
  <si>
    <t>допустимое</t>
  </si>
  <si>
    <t>измеренное</t>
  </si>
  <si>
    <t>по паспорту</t>
  </si>
  <si>
    <t>АВР-1 (панель АВР)</t>
  </si>
  <si>
    <t>250А</t>
  </si>
  <si>
    <t>КТ 6633Г</t>
  </si>
  <si>
    <t>(0,6±0,05)Uн.ф.</t>
  </si>
  <si>
    <t>АВР-3 (панель АВР)</t>
  </si>
  <si>
    <t>63А</t>
  </si>
  <si>
    <t>АВВ СМ-РVN</t>
  </si>
  <si>
    <t>ABB A63-30</t>
  </si>
  <si>
    <t>0,1-10</t>
  </si>
  <si>
    <t>АВР-2 (щит ATI-250)</t>
  </si>
  <si>
    <t>250A</t>
  </si>
  <si>
    <t>Электронное
АТI-250</t>
  </si>
  <si>
    <t>ATI-250</t>
  </si>
  <si>
    <t>0-60</t>
  </si>
  <si>
    <t>№ аттестата</t>
  </si>
  <si>
    <t>графы №№8,9 заполняются при наличии требований энергосбытовой организации по задержке срабатывания АВР.</t>
  </si>
  <si>
    <t>Устройства АВР работают по принципу контроля напряжения на вводах, контроля включённого положения контакторов и обеспечивает функционирование согласно техническим требованиям и НТД.</t>
  </si>
  <si>
    <r>
      <t>Дата проведения измерений</t>
    </r>
    <r>
      <rPr>
        <b/>
        <sz val="12"/>
        <rFont val="Times New Roman"/>
        <family val="1"/>
        <charset val="204"/>
      </rPr>
      <t xml:space="preserve"> до:</t>
    </r>
  </si>
  <si>
    <t>Тепловизионный контроль контактных соединений эл. щитового оборудования.</t>
  </si>
  <si>
    <r>
      <rPr>
        <sz val="10"/>
        <rFont val="Symbol"/>
        <family val="1"/>
        <charset val="2"/>
      </rPr>
      <t>°</t>
    </r>
    <r>
      <rPr>
        <sz val="10"/>
        <rFont val="Times New Roman"/>
        <family val="1"/>
        <charset val="204"/>
      </rPr>
      <t>С.</t>
    </r>
  </si>
  <si>
    <t xml:space="preserve">  Влажность воздуха</t>
  </si>
  <si>
    <r>
      <t>Цель измерений (испытаний)</t>
    </r>
    <r>
      <rPr>
        <b/>
        <u/>
        <sz val="8"/>
        <rFont val="Times New Roman"/>
        <family val="1"/>
        <charset val="204"/>
      </rPr>
      <t xml:space="preserve">                                                                            </t>
    </r>
  </si>
  <si>
    <t>Нормативные и технические документы, на соответствие требованиям которых проведены измерения (испытания):
 ГОСТ 403-73; ГОСТ 10434-82</t>
  </si>
  <si>
    <t>Наименование объекта</t>
  </si>
  <si>
    <t>Этаж</t>
  </si>
  <si>
    <t>№ эл. щитовой</t>
  </si>
  <si>
    <t>№ панели, 
щита</t>
  </si>
  <si>
    <t>№
авт. выкл.</t>
  </si>
  <si>
    <t>Тип 
авт. выкл.</t>
  </si>
  <si>
    <r>
      <rPr>
        <sz val="18"/>
        <rFont val="Times New Roman"/>
        <family val="1"/>
        <charset val="204"/>
      </rPr>
      <t>t</t>
    </r>
    <r>
      <rPr>
        <vertAlign val="superscript"/>
        <sz val="12"/>
        <rFont val="Times New Roman"/>
        <family val="1"/>
        <charset val="204"/>
      </rPr>
      <t>0</t>
    </r>
    <r>
      <rPr>
        <vertAlign val="superscript"/>
        <sz val="12"/>
        <rFont val="Times New Roman"/>
        <family val="1"/>
        <charset val="204"/>
      </rPr>
      <t>C контактных соединений на момент измерений</t>
    </r>
  </si>
  <si>
    <t>2. Проверки проведены приборами:</t>
  </si>
  <si>
    <t xml:space="preserve">Заключение: В результате измерений, превышений температуры на контактных соединениях эл. щитового оборудования не 
                         выявлено. </t>
  </si>
  <si>
    <t>проверки целостности и фазировки жил кабелей.</t>
  </si>
  <si>
    <t>Нормативные и технические документы, на соответствие требованиям которых проведены измерения (испытания):
 ПУЭ, п.1.8.40, п.1</t>
  </si>
  <si>
    <t>Тип шинопровода, марка кабеля</t>
  </si>
  <si>
    <t>Обозначение шинопровода, номер кабельной линии по проекту</t>
  </si>
  <si>
    <t>Фаза А соответствует</t>
  </si>
  <si>
    <t>Фаза В соответствует</t>
  </si>
  <si>
    <t>Фаза С соответствует</t>
  </si>
  <si>
    <t>РТП-28009 (РТП-1)</t>
  </si>
  <si>
    <t>Секция 1</t>
  </si>
  <si>
    <t>АПвБШп(г) 4х185</t>
  </si>
  <si>
    <t xml:space="preserve">1.1.1 </t>
  </si>
  <si>
    <t xml:space="preserve"> + </t>
  </si>
  <si>
    <t>1.1.2</t>
  </si>
  <si>
    <t>1.1.3</t>
  </si>
  <si>
    <t>1.1.4</t>
  </si>
  <si>
    <t>1.1.5</t>
  </si>
  <si>
    <t>АПвБШп(г) 4х120</t>
  </si>
  <si>
    <t>1.1.6</t>
  </si>
  <si>
    <t>1.1.7</t>
  </si>
  <si>
    <t>1.1.8</t>
  </si>
  <si>
    <t>АПвБШп(г) 4х150</t>
  </si>
  <si>
    <t>1.1.9</t>
  </si>
  <si>
    <t>1.1.10</t>
  </si>
  <si>
    <t>Секция 2</t>
  </si>
  <si>
    <t xml:space="preserve">1.2.1 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</si>
  <si>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</si>
  <si>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</si>
  <si>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</si>
  <si>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</si>
  <si>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</si>
  <si>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</si>
  <si>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</si>
  <si>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</si>
  <si>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</si>
  <si>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РТП-28010 (РТП-2)</t>
  </si>
  <si>
    <t xml:space="preserve">2.1.1 </t>
  </si>
  <si>
    <t>2.1.2</t>
  </si>
  <si>
    <t>2.1.3</t>
  </si>
  <si>
    <t>АПвБШп(г) 4х240</t>
  </si>
  <si>
    <t>2.1.4</t>
  </si>
  <si>
    <t>2.1.5</t>
  </si>
  <si>
    <t xml:space="preserve">2.2.1 </t>
  </si>
  <si>
    <t>2.2.2</t>
  </si>
  <si>
    <t>2.2.3</t>
  </si>
  <si>
    <t>2.2.4</t>
  </si>
  <si>
    <t>2.2.5</t>
  </si>
  <si>
    <r>
      <rPr>
        <b/>
        <sz val="12"/>
        <rFont val="Times New Roman"/>
        <family val="1"/>
        <charset val="204"/>
      </rPr>
      <t>Заключение: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Результаты измерений п.п. №№</t>
    </r>
    <r>
      <rPr>
        <sz val="12"/>
        <color indexed="10"/>
        <rFont val="Times New Roman"/>
        <family val="1"/>
        <charset val="204"/>
      </rPr>
      <t>1÷30</t>
    </r>
    <r>
      <rPr>
        <sz val="12"/>
        <color indexed="8"/>
        <rFont val="Times New Roman"/>
        <family val="1"/>
        <charset val="204"/>
      </rPr>
      <t xml:space="preserve"> соответствуют ПУЭ, п.1.8.40, п.1</t>
    </r>
  </si>
  <si>
    <t>испытания кабелей на барабанах до прокладки на монтажной площадке.</t>
  </si>
  <si>
    <t>ПУЭ, п.1.8.40, п.п. 2.</t>
  </si>
  <si>
    <t>L кабеля на барабане (м) и рабочее напряжение.</t>
  </si>
  <si>
    <t>Напряже-
ние мегаом-
метра(В)</t>
  </si>
  <si>
    <t>Допуст. сопрот. изоля-
ции не менее (МОм)</t>
  </si>
  <si>
    <t>Сопротивление изоляции, (мОм)</t>
  </si>
  <si>
    <t>Барабан №14/218/Н</t>
  </si>
  <si>
    <t>305 метров</t>
  </si>
  <si>
    <t>АПвБШп(г)</t>
  </si>
  <si>
    <t>4х</t>
  </si>
  <si>
    <t>Барабан №14/112/Н</t>
  </si>
  <si>
    <t>Барабан №14/84/Н</t>
  </si>
  <si>
    <t>Барабан №14/252/Н</t>
  </si>
  <si>
    <t>Барабан №17а/59/Е</t>
  </si>
  <si>
    <t>670 метров</t>
  </si>
  <si>
    <t>Барабан №17а/111/Е</t>
  </si>
  <si>
    <t>Барабан №18/21/К</t>
  </si>
  <si>
    <t>380 метров</t>
  </si>
  <si>
    <t>Барабан №18/14/К</t>
  </si>
  <si>
    <t>Барабан №16/14/Л</t>
  </si>
  <si>
    <t>240 метров</t>
  </si>
  <si>
    <t>Барабан №16/20/Л</t>
  </si>
  <si>
    <t>Результаты измерений п.п. № №1÷10 соответствуют требованиям ПУЭ, п.1.8.40, п.п. 2.</t>
  </si>
  <si>
    <t>ПЕРЕЧЕНЬ ПРИМЕНЯЕМОГО ИСПЫТАТЕЛЬНОГО ОБОРУДОВАНИЯ (ИО)
 И СРЕДСТВ ИЗМЕРЕНИЙ (СИ)</t>
  </si>
  <si>
    <t>ЗАКЛЮЧЕНИЕ</t>
  </si>
  <si>
    <t>Электроустановка:</t>
  </si>
  <si>
    <t>По адресу:</t>
  </si>
  <si>
    <t>Протокол  проверил:</t>
  </si>
  <si>
    <t>электрических измерений однопарных и двухпарных кабелей</t>
  </si>
  <si>
    <t>ПТЭЭП, прил. №3.1, таблица 37, ГОСТ 31565-2012.</t>
  </si>
  <si>
    <t>№ кабеля</t>
  </si>
  <si>
    <t>Марка кабеля</t>
  </si>
  <si>
    <t>№№ пар кабеля</t>
  </si>
  <si>
    <t>Длина кабеля, м</t>
  </si>
  <si>
    <t>Вычисленная норма для данной длины и температуры</t>
  </si>
  <si>
    <t>Сопротивление изоляции Rиз, Мом</t>
  </si>
  <si>
    <t>Сопротивление шлейфа, Rшл , Ом</t>
  </si>
  <si>
    <t>Вывод о соответствии норме</t>
  </si>
  <si>
    <t>Сопр. Пост току:
Ом/км</t>
  </si>
  <si>
    <t>Сопр. изоляции:
МОм/км</t>
  </si>
  <si>
    <t>0,2=96</t>
  </si>
  <si>
    <r>
      <t xml:space="preserve">не </t>
    </r>
    <r>
      <rPr>
        <b/>
        <sz val="8"/>
        <rFont val="Calibri"/>
        <family val="2"/>
        <charset val="204"/>
      </rPr>
      <t>&lt;</t>
    </r>
    <r>
      <rPr>
        <b/>
        <sz val="8"/>
        <rFont val="Arial"/>
        <family val="2"/>
        <charset val="204"/>
      </rPr>
      <t>100</t>
    </r>
  </si>
  <si>
    <t>0,35=63</t>
  </si>
  <si>
    <t>Rиз, МОм</t>
  </si>
  <si>
    <t>Rшл, Ом</t>
  </si>
  <si>
    <t>между жилами</t>
  </si>
  <si>
    <t>1 жила — земля</t>
  </si>
  <si>
    <t>2 жила — земля</t>
  </si>
  <si>
    <t>0,5=37,4</t>
  </si>
  <si>
    <t>0,75=25,5</t>
  </si>
  <si>
    <t>1=18,8</t>
  </si>
  <si>
    <t>1,5=12,6</t>
  </si>
  <si>
    <t>ААI006</t>
  </si>
  <si>
    <t>КПСнг(А)-FRLS (1х2х1)</t>
  </si>
  <si>
    <t>Cоответствует норме</t>
  </si>
  <si>
    <t>2,5=8</t>
  </si>
  <si>
    <t>ААI007</t>
  </si>
  <si>
    <t>ААI008</t>
  </si>
  <si>
    <t>КПСнг(А)-FRLS (2х2х1)</t>
  </si>
  <si>
    <t>Результаты измерений п.п. № №1÷16 соответствуют требованиям ПТЭЭП, прил. №3.1, таблица 37, ГОСТ 31565-2012.</t>
  </si>
  <si>
    <t>Измерения провели:</t>
  </si>
  <si>
    <t>Осмотра и проверки рубильников</t>
  </si>
  <si>
    <t>Нормативные и технические документы, на соответствие требованиям которых проведены измерения (испытания): 
ПУЭ гл.1.8.24 , ПТЭЭП п. 16 приложение 3, а также  с данными предприятия изготовителя</t>
  </si>
  <si>
    <t>№п/п</t>
  </si>
  <si>
    <t>Тип рубильника</t>
  </si>
  <si>
    <t>Общее состояние элементов рубильника по внешнему осмотру</t>
  </si>
  <si>
    <t>Угол поворота ножей при отключении
(град.)</t>
  </si>
  <si>
    <t>Ход дугогасительных ножей в камерах (мм)</t>
  </si>
  <si>
    <t>Работа</t>
  </si>
  <si>
    <t>Смазка трущихся частей</t>
  </si>
  <si>
    <t>Кол-во контрольных включений, отключений</t>
  </si>
  <si>
    <t>механизма свободного расцепления</t>
  </si>
  <si>
    <t>фиксатора</t>
  </si>
  <si>
    <t>ВР 32-39</t>
  </si>
  <si>
    <t>5/5</t>
  </si>
  <si>
    <t>Соответствует ПУЭ гл.1.8.24 , ПТЭЭП п. 16 приложение 3, а также  с данными предприятия изготовителя</t>
  </si>
  <si>
    <t>измерений параметров освещённости</t>
  </si>
  <si>
    <r>
      <rPr>
        <b/>
        <sz val="12"/>
        <rFont val="Times New Roman"/>
        <family val="1"/>
        <charset val="204"/>
      </rPr>
      <t>Цель проведения измерений:</t>
    </r>
    <r>
      <rPr>
        <sz val="12"/>
        <rFont val="Times New Roman"/>
        <family val="1"/>
        <charset val="204"/>
      </rPr>
      <t xml:space="preserve"> плановая проверка.</t>
    </r>
  </si>
  <si>
    <t>Измерения производились в присутствии заказчика ФИО.</t>
  </si>
  <si>
    <t>Наименование средств измерений и сведений о государственной поверке:</t>
  </si>
  <si>
    <t>Наименование и тип средства измерений</t>
  </si>
  <si>
    <t>Номер</t>
  </si>
  <si>
    <t>Погрешность или класс точности</t>
  </si>
  <si>
    <t>Свидетельство о поверке</t>
  </si>
  <si>
    <t>номер</t>
  </si>
  <si>
    <t>Поверен до
(дата)</t>
  </si>
  <si>
    <r>
      <rPr>
        <b/>
        <sz val="12"/>
        <rFont val="Times New Roman"/>
        <family val="1"/>
        <charset val="204"/>
      </rPr>
      <t>НД на методы измерений</t>
    </r>
    <r>
      <rPr>
        <sz val="12"/>
        <rFont val="Times New Roman"/>
        <family val="1"/>
        <charset val="204"/>
      </rPr>
      <t xml:space="preserve"> ГОСТ Р 54944-2012 "Здания и сооружения. Методы измерения освещённости"</t>
    </r>
  </si>
  <si>
    <t>НД регламентирующиеобъём лабораторных исследований и их оценку: СП 52.13330.2011, СНИП 23-05-95.</t>
  </si>
  <si>
    <t>Ответственный за оформление протокола:</t>
  </si>
  <si>
    <t>Результаты измерений:</t>
  </si>
  <si>
    <t>Место исследования</t>
  </si>
  <si>
    <t>Наименование раб. поверхности (Г-гориз. В-верт.)</t>
  </si>
  <si>
    <t>Тип светильников (ЛЛ-люминисц. ЛН-лампы накал. СД-свет. диодные</t>
  </si>
  <si>
    <t>Замер общей освещённости. (искуственное освещение+общее освещение)
(люкс.)</t>
  </si>
  <si>
    <t>Норма общей освещённости (люкс.)</t>
  </si>
  <si>
    <t>пом. №1</t>
  </si>
  <si>
    <t>точка 1</t>
  </si>
  <si>
    <t>Г-0,9</t>
  </si>
  <si>
    <t>СД</t>
  </si>
  <si>
    <t>Приложение к Т.О №505</t>
  </si>
  <si>
    <t>№ помещения</t>
  </si>
  <si>
    <t>Планируемые работы</t>
  </si>
  <si>
    <t>Корректировка проекта по требованиям НТД и заказчика.</t>
  </si>
  <si>
    <t>Выполнить подключение щита по основной схеме.</t>
  </si>
  <si>
    <t>ЩАП</t>
  </si>
  <si>
    <t xml:space="preserve">Спроектировать, установить и подключить щит (схема щита будет работать при выводе в ремонт основного эл. питания).
</t>
  </si>
  <si>
    <t>Произвести переключение с существующих щитов на ЩАП кабельных линий всего аварийного освещения и силовых однофазных розеток, установленных в пом.№224 и №223, "пищалки на входе" и силовых однофазных розеток, установленных на колонне справа от стойки администратора.</t>
  </si>
  <si>
    <t>Помещения, указанные в проекте</t>
  </si>
  <si>
    <t>Установить и подключить светильники ав. освещения.</t>
  </si>
  <si>
    <t>Пом. №101</t>
  </si>
  <si>
    <t>Выполнить ОСУП и ДСУП.</t>
  </si>
  <si>
    <t>Пом. №203,204,206,207, 205,208,209,210,211</t>
  </si>
  <si>
    <t>Выполнить ДСУП.</t>
  </si>
  <si>
    <t>Пом. №214 (угловое пространство под антресолью)</t>
  </si>
  <si>
    <t>Смонтировать защитную нишу для щитов ЩС-2, ЩО-2 и местных выключателей управления освещением.</t>
  </si>
  <si>
    <t>Пом. №213 и №217 (лестничные марши)</t>
  </si>
  <si>
    <t>Проложить кабель от ЩАП, установить и подключить светильники ав. освещения.</t>
  </si>
  <si>
    <t xml:space="preserve">Пом. №201 (колонна у окна)  </t>
  </si>
  <si>
    <t>Установить и подключить две силовые однофазные розетки.</t>
  </si>
  <si>
    <t xml:space="preserve">Пом. №201 (колонна у стойки администратора)  </t>
  </si>
  <si>
    <t>Демонтировать выключатели освещения и установить их на колонну у окна в пом.№224.</t>
  </si>
  <si>
    <t xml:space="preserve">Пом. №201 (стойка администратора)  </t>
  </si>
  <si>
    <t>Демонтировать полностью.</t>
  </si>
  <si>
    <t xml:space="preserve">Пом. №201 (стена для установки TV)  </t>
  </si>
  <si>
    <t>Демонтировать cиловые однофазные розетки. Оставить только силовые однофазные розетки для TV (под потолком.)</t>
  </si>
  <si>
    <t>Демонтировать все кабельные линии. выходящие из пола.</t>
  </si>
  <si>
    <t xml:space="preserve">Пом. №201 (перед стойкой администратора)  </t>
  </si>
  <si>
    <t>Демонтировать все кабельные линии. выходящие из пола, за исключением 2/Гр3-8 и 4/Гр3-8.</t>
  </si>
  <si>
    <t>Пом. №224 (колонна у окна)</t>
  </si>
  <si>
    <t>Установить, проложить и подключить кабели к мастер-выключателям, отвечающим за управление освещением в трёх зонах клуба.</t>
  </si>
  <si>
    <t>Установить, проложить и подключить кабели к выключателям, отвечающим за управление местным освещением в первой зоне клуба.</t>
  </si>
  <si>
    <t>Замечания, указанные в ведомости дефектов</t>
  </si>
  <si>
    <t>Устранить в соответствии с НТД, ПУЭ, ПТЭЭП, ГОСТ и т.д.</t>
  </si>
  <si>
    <t>https://tmelectro.ru/elektrolaboratoriya/</t>
  </si>
  <si>
    <t>*Не выполняется условие селективности по току между автоматическими выключателями QF2, QF3, установленными в ЩРЗ и QF1, QF2, установленными в ЩРЗ-1.
**Сделать заключение о соответствии  согласования параметров цепи «фаза – нуль» с характеристиками аппаратов защиты и непрерывности защитных проводников не представляется возможным, т.к. к ВРУ дома нет доступа.
*Сделать заключение о соответствии  согласования параметров цепи «фаза – нуль» с характеристиками аппаратов защиты и непрерывности защитных проводников не представляется возможным, т.к. данные групповые кабельные линии не защищены от токов КЗ и токов перегрузки. 
В качестве защиты указанных групповых кабельных линий и потребителей установлены УЗО, типа ВД1-63. (Быстродействующий защитный выключатель, реагирующий на дифференциальный ток, без встроенной защиты от сверхтоков и токов перегрузки.)*В конструкции данных аппаратов отсутствуют тепловой и эл. магнитный расцепители. 
**В конструкции данных аппаратов имеется только тепловой расцепитель.
***На данном аппарате отсутствуют технические характеристики. 
Длительно допустимый ток кабельных линий по п.п.№№5,8,9,10,12,13,14,18,22,23,26,29,30,37,40,44,45,51,130-140,146,148,175,
182-191,438,445,447,449-453,488,489,491,492,493,534-539,542,543,609,635,659,687,688,689,721,780,781,782 не соответствует In аппаратов, к которым они подключены.
**** На плавких вставках отсутствуют данные о In, а так же плавкие вставки зашунтированы перемычками из проволоки. Сделать заключение о соответствии  согласования параметров цепи «фаза – нуль» с характеристиками аппаратов защиты и непрерывности защитных проводников не представляется возможным, т.к. на месте плавких вставок предохранителей установлены перемычки, шунтирующие предохранители.
Не выполняется условие селективности по току между автоматическими выключателями QF3, QF12, QF13 и QF8, QF19;
В цепи нулевых рабочих проводников N групповых линий №3 и №8 включены автоматические выключатели QF14 и QF20; 
*Сделать заключение о соответствии  согласования параметров цепи «фаза – нуль» с характеристиками аппаратов защиты и непрерывности защитных проводников не представляется возможным, т.к. в ящике/рубильнике на месте плавких вставок предохранителей установлены перемычки, шунтирующие предохранители.</t>
  </si>
  <si>
    <t>При проведении измерений проверено:</t>
  </si>
  <si>
    <r>
      <t>a)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Отсутствие предохранителей и автоматов в нулевом проводе.</t>
    </r>
  </si>
  <si>
    <r>
      <t>b)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Соответствие плавких вставок и уставок автоматических выключателей проекту и требованиям нормативной и технической документации.</t>
    </r>
  </si>
  <si>
    <r>
      <rPr>
        <b/>
        <sz val="12"/>
        <rFont val="Times New Roman"/>
        <family val="1"/>
        <charset val="204"/>
      </rPr>
      <t>Примечание:</t>
    </r>
    <r>
      <rPr>
        <sz val="10"/>
        <rFont val="Times New Roman"/>
        <family val="1"/>
        <charset val="204"/>
      </rPr>
      <t xml:space="preserve"> </t>
    </r>
  </si>
  <si>
    <t>Заключение:</t>
  </si>
  <si>
    <t xml:space="preserve">Результаты измерений п.п. №№ 1÷68 соответствуют требованиям ПТЭЭП, приложение 3, раздел 28, п.28.4.   </t>
  </si>
  <si>
    <t>°С.   Влажность воздуха</t>
  </si>
  <si>
    <t>%.       Атмосферное давление</t>
  </si>
  <si>
    <t>ПУЭ, п.1.8.39 п/п 4, п.1.7.79, табл. 1.7.1.</t>
  </si>
  <si>
    <t>Проверяемый участок цепи, место установки аппарата защиты</t>
  </si>
  <si>
    <t>Аппарат защиты от сверхтока</t>
  </si>
  <si>
    <t>Измеренное значение сопротивления цепи «фаза – нуль», (Ом)</t>
  </si>
  <si>
    <t>Измеренное (расчётное) значение тока однофазного замыкания, (А)</t>
  </si>
  <si>
    <t>Время срабатывания аппарата защиты, (сек)</t>
  </si>
  <si>
    <t>Iн.
автомата</t>
  </si>
  <si>
    <t>Измеренное (расчётное) значение тока однофаз-го замыкания, (А)</t>
  </si>
  <si>
    <t>Хар-ка
автомата</t>
  </si>
  <si>
    <t xml:space="preserve">Типовое
обозначение
</t>
  </si>
  <si>
    <t xml:space="preserve">Тип
расцепителя
</t>
  </si>
  <si>
    <t>Номин. ток</t>
  </si>
  <si>
    <t>Диапазон тока срабатывания расцепителя короткого замыкания</t>
  </si>
  <si>
    <t>Допуст.</t>
  </si>
  <si>
    <t>По время-токовой хар-ке</t>
  </si>
  <si>
    <t>QF1</t>
  </si>
  <si>
    <t>07886</t>
  </si>
  <si>
    <t xml:space="preserve">OBB MD </t>
  </si>
  <si>
    <t>&lt; 0,4</t>
  </si>
  <si>
    <t>&lt; 0,02</t>
  </si>
  <si>
    <t>&lt; 5</t>
  </si>
  <si>
    <t xml:space="preserve">Выводы: </t>
  </si>
  <si>
    <r>
      <rPr>
        <b/>
        <sz val="12"/>
        <rFont val="Times New Roman"/>
        <family val="1"/>
        <charset val="204"/>
      </rPr>
      <t>Примечание:</t>
    </r>
    <r>
      <rPr>
        <sz val="10"/>
        <rFont val="Times New Roman"/>
        <family val="1"/>
        <charset val="204"/>
      </rPr>
      <t xml:space="preserve"> </t>
    </r>
  </si>
  <si>
    <t>ОБЩЕСТВО С ОГРАНИЧЕННОЙ ОТВЕТСТВЕННОСТЬЮ</t>
  </si>
  <si>
    <t>АВС</t>
  </si>
  <si>
    <t>В</t>
  </si>
  <si>
    <t>кол-во полюсов</t>
  </si>
  <si>
    <t>+
+
+</t>
  </si>
  <si>
    <t>+
+</t>
  </si>
  <si>
    <t>+</t>
  </si>
  <si>
    <t>«ТМ-Электро»</t>
  </si>
  <si>
    <t>ИК «ТМ-Электро»</t>
  </si>
  <si>
    <t>А</t>
  </si>
  <si>
    <t>С</t>
  </si>
  <si>
    <t>-
-
-</t>
  </si>
  <si>
    <t>-
-</t>
  </si>
  <si>
    <t>-</t>
  </si>
  <si>
    <t>Краткое наименование</t>
  </si>
  <si>
    <t>ООО «ТМ-Электро»</t>
  </si>
  <si>
    <t>ООО ИК «ТМ-Электро»</t>
  </si>
  <si>
    <t>D</t>
  </si>
  <si>
    <t>ИСПЫТАТЕЛЬНАЯ ЛАБОРАТОРИЯ ЭЛЕКТРОУСТАНОВОК ЗДАНИЙ</t>
  </si>
  <si>
    <t>ПН-2</t>
  </si>
  <si>
    <t>Свидетельство о регистрации</t>
  </si>
  <si>
    <t>№ 6231-2</t>
  </si>
  <si>
    <t>Дата выдачи</t>
  </si>
  <si>
    <t xml:space="preserve">«11» января 2019 г. </t>
  </si>
  <si>
    <t>Действительно до</t>
  </si>
  <si>
    <t xml:space="preserve">«11» января 2022 г. </t>
  </si>
  <si>
    <t>Юридический адрес:</t>
  </si>
  <si>
    <t>Представленный проект соответствует НТД по эл. установкам жилых и общественных зданий. (СП 31-110-2003)</t>
  </si>
  <si>
    <t>Почтовый адрес:</t>
  </si>
  <si>
    <t>Представленное для испытаний электрооборудование по результатам осмотра и измерений  будет пригодно для безопасной эксплуатации после устранения недостатков, указанных  в  ведомости  дефектов и протоколах испытаний.</t>
  </si>
  <si>
    <t>Тел./факс:</t>
  </si>
  <si>
    <t xml:space="preserve">(499) 977-91-07 </t>
  </si>
  <si>
    <t>Представленное для испытаний электрооборудование по результатам осмотра и измерений соответствует нормативной и проектной документации.</t>
  </si>
  <si>
    <t>Руководитель электролаборатории:</t>
  </si>
  <si>
    <t>Евдокимов А.О.</t>
  </si>
  <si>
    <t>Представленное для испытаний электрооборудование по результатам осмотра и измерений соответствует нормативной документации, за исключением замечаний, указанных в ведомости дефектов.</t>
  </si>
  <si>
    <t>Инженер</t>
  </si>
  <si>
    <t>Кокшаров С.В.</t>
  </si>
  <si>
    <t>Электромонтаж не соответствует проекту.</t>
  </si>
  <si>
    <t>ЩЭ, ЩК и отходящие линии.</t>
  </si>
  <si>
    <t>Город и год Протокола</t>
  </si>
  <si>
    <t>г. Москва 2020г.</t>
  </si>
  <si>
    <t>Щиты силовые и распределительные; вводные, распределительные и групповые линии.</t>
  </si>
  <si>
    <t>КОД ОКП:</t>
  </si>
  <si>
    <t>ВРУ №2 в составе: ВП-2; РП №2 в составе: панель ЩО, панель ЩАО,панель ЩБП, панель ЩБ;</t>
  </si>
  <si>
    <t xml:space="preserve">Протокол </t>
  </si>
  <si>
    <t>электропроводка (распределительные и групповые сети).</t>
  </si>
  <si>
    <t>ТЕХНИЧЕСКИЙ ОТЧЁТ</t>
  </si>
  <si>
    <t xml:space="preserve">ПРОГРАММА ЭКСПЛУАТАЦИОННЫХ ИСПЫТАНИЙ ЭЛЕКТРОУСТАНОВКИ </t>
  </si>
  <si>
    <t xml:space="preserve">ПРОГРАММА ПРИЕМОСДАТОЧНЫХ ИСПЫТАНИЙ ЭЛЕКТРОУСТАНОВКИ </t>
  </si>
  <si>
    <t>Заказчик:</t>
  </si>
  <si>
    <t>Отсутствует утверждённая и согласованная документация по эл. монтажу установки.</t>
  </si>
  <si>
    <t>Объект:</t>
  </si>
  <si>
    <t>Фитнес-клуб</t>
  </si>
  <si>
    <t>Частично представленные однолинейные эл. схемы не утверждены, не согласованы, имеют исправления.</t>
  </si>
  <si>
    <t>Адрес:</t>
  </si>
  <si>
    <t>Выполненный эл. монтаж и размещение эл. оборудования не соответствуют представленным схемам.</t>
  </si>
  <si>
    <t>Время проведения испытаний:</t>
  </si>
  <si>
    <t xml:space="preserve"> -</t>
  </si>
  <si>
    <t>Представленное для испытаний электрооборудование по результатам осмотра и измерений соответствует нормативной и проектной документации, за исключением замечаний, указанных в ведомости дефектов.</t>
  </si>
  <si>
    <t>Цель испытаний:</t>
  </si>
  <si>
    <t>эксплуатационные</t>
  </si>
  <si>
    <t>Административно торговый комплекс БМВ</t>
  </si>
  <si>
    <t>приёмо-сдаточные</t>
  </si>
  <si>
    <t>для целей сертификации</t>
  </si>
  <si>
    <t>УЭРМ, ЩК, вводная и групповые линии и эл. установочные изделия.</t>
  </si>
  <si>
    <t>сличительные</t>
  </si>
  <si>
    <t>УЭРМ, электропроводки (питающие, распределительные и групповые сети), и эл. установочные изделия.</t>
  </si>
  <si>
    <t>контрольные</t>
  </si>
  <si>
    <t>ЩВР; вводная, распределительные и групповые кабельные линии и эл. установочные изделия.</t>
  </si>
  <si>
    <t>ЩВР; электропроводки (питающие, распределительные и групповые сети); эл. установочные изделия.</t>
  </si>
  <si>
    <t>Дата проведения испытаний:</t>
  </si>
  <si>
    <t xml:space="preserve">Представленное для испытаний электрооборудование по результатам осмотра и измерений соответствует нормативной и проектной документации, за исключением замечаний, указанных в ведомости дефектов.
Не представлена согласованная проектная документация.
Изменения в электроустановке, выполненные в процессе эл. монтажа не отражены в представленном проекте. </t>
  </si>
  <si>
    <t>Получение заявки для проведения испытаний:</t>
  </si>
  <si>
    <t>23 января 2020г.</t>
  </si>
  <si>
    <t>Дата проведения измерений до:</t>
  </si>
  <si>
    <t>Окончание испытаний:</t>
  </si>
  <si>
    <t>Пояснительная записка (дата составления)</t>
  </si>
  <si>
    <t>29 января 2020г.</t>
  </si>
  <si>
    <t>Климатические условия при проведении измерений</t>
  </si>
  <si>
    <t>Изменения в электроустановке, выполненные в процессе эксплуатации, не отражены в эл. схемах и не подписаны ответственным за электрохозяйство. 
ПТЭЭП, п.1.8.3, п.1.8.4. 
Соответствие электрических схем фактическим эксплуатационным должны проверяться не реже 1раза в 2 года с отметкой на них о проверке. ПТЭЭП, п.1.8.5.</t>
  </si>
  <si>
    <t>Температура воздуха:</t>
  </si>
  <si>
    <r>
      <rPr>
        <sz val="10"/>
        <rFont val="Symbol"/>
        <family val="1"/>
        <charset val="2"/>
      </rPr>
      <t>°</t>
    </r>
    <r>
      <rPr>
        <sz val="10"/>
        <rFont val="Times New Roman"/>
        <family val="1"/>
        <charset val="204"/>
      </rPr>
      <t>С.</t>
    </r>
  </si>
  <si>
    <t>Влажность воздуха:</t>
  </si>
  <si>
    <t>%.</t>
  </si>
  <si>
    <t>Атмосферное давление:</t>
  </si>
  <si>
    <t xml:space="preserve"> мм.рт.ст.</t>
  </si>
  <si>
    <t>Наименование проектной организации</t>
  </si>
  <si>
    <t>ООО"ТМ-Электро"</t>
  </si>
  <si>
    <t xml:space="preserve">Свидетельство: </t>
  </si>
  <si>
    <t>№ 0678-2017-7707339217-П-011</t>
  </si>
  <si>
    <t>Выдано:</t>
  </si>
  <si>
    <t>19.01.2017 г.</t>
  </si>
  <si>
    <t>Представленный проект соответствует НПД по эл. установкам жилых и общественных зданий. (СП 31-110-2003).
Изменения в электроустановке, выполненные в процессе эл. монтажа не отражены в представленном проекте.  ПТЭЭП, п.1.8.3, п.1.8.4.
Представленное для испытаний электрооборудование по результатам осмотра и измерений соответствует нормативной и проектной документации, за исключением замечаний, указанных в ведомости дефектов.</t>
  </si>
  <si>
    <t xml:space="preserve">Действительно до </t>
  </si>
  <si>
    <t>без ограничения срока действия</t>
  </si>
  <si>
    <t>В результате проведения проверки эл. оборудования на соответствие нормативным документам установлено, что электроустановка в объеме, представленном к испытаниям, соответствует требованиям  НТД за исключением пунктов, указанных в ведомости дефектов.</t>
  </si>
  <si>
    <t>Наименование электромонтажной организации</t>
  </si>
  <si>
    <t>В результате анализа исполнительной документации и существующей схемы эл. установки, проверки соответствия электроустановки нормативной и проектной документации установлено, что электроустановка в объеме, представленном к испытаниям, соответствует требованиям  НТД за исключением пунктов, указанных в ведомости дефектов.</t>
  </si>
  <si>
    <t xml:space="preserve">Действительна до </t>
  </si>
  <si>
    <t>Измерения проведены приборами:</t>
  </si>
  <si>
    <t>№
п/п</t>
  </si>
  <si>
    <t>Тип</t>
  </si>
  <si>
    <t>Заводской номер</t>
  </si>
  <si>
    <t>Протокол
№</t>
  </si>
  <si>
    <t>Метрологические характеристики</t>
  </si>
  <si>
    <t>Дата поверки</t>
  </si>
  <si>
    <t>№ аттестата
(свидетельства)</t>
  </si>
  <si>
    <t>Орган государственной
метрологической службы,
проводивший поверку</t>
  </si>
  <si>
    <t>Диапазон измерения</t>
  </si>
  <si>
    <t>Погрешность</t>
  </si>
  <si>
    <t>последняя</t>
  </si>
  <si>
    <t>очередная</t>
  </si>
  <si>
    <t>MPI-520</t>
  </si>
  <si>
    <t>2,7,8</t>
  </si>
  <si>
    <t>0...400 Ом (0,01 Ом)</t>
  </si>
  <si>
    <t>± (2% R+3 е.м.р.)</t>
  </si>
  <si>
    <t>№18182-А</t>
  </si>
  <si>
    <t>ООО "СОНЕЛ"</t>
  </si>
  <si>
    <t>0…3 ГОм (1 кОм)</t>
  </si>
  <si>
    <t>± (3% Riso+8 е.м.р.)</t>
  </si>
  <si>
    <t>0-1999 Ом (0,01 Ом)
0,001...40кА (0,001кА)</t>
  </si>
  <si>
    <r>
      <t xml:space="preserve"> ± (5% Z</t>
    </r>
    <r>
      <rPr>
        <vertAlign val="subscript"/>
        <sz val="8"/>
        <rFont val="Times New Roman"/>
        <family val="1"/>
        <charset val="204"/>
      </rPr>
      <t>S</t>
    </r>
    <r>
      <rPr>
        <vertAlign val="superscript"/>
        <sz val="8"/>
        <rFont val="Times New Roman"/>
        <family val="1"/>
        <charset val="204"/>
      </rPr>
      <t>+5 е.м.р.)                     -∆I; +∆I;</t>
    </r>
  </si>
  <si>
    <t>0,1…1000 Ма(0,1мА)
0-300мс(1мс)</t>
  </si>
  <si>
    <r>
      <t>± 5% I∆n
± (2% t</t>
    </r>
    <r>
      <rPr>
        <vertAlign val="subscript"/>
        <sz val="8"/>
        <rFont val="Times New Roman"/>
        <family val="1"/>
        <charset val="204"/>
      </rPr>
      <t>А</t>
    </r>
    <r>
      <rPr>
        <vertAlign val="superscript"/>
        <sz val="8"/>
        <rFont val="Times New Roman"/>
        <family val="1"/>
        <charset val="204"/>
      </rPr>
      <t>+2 е.м.р.)</t>
    </r>
  </si>
  <si>
    <t>0÷500В</t>
  </si>
  <si>
    <t>±(2,0% и.в.+6 е.м.р.)</t>
  </si>
  <si>
    <t>ИВТМ-7</t>
  </si>
  <si>
    <r>
      <t>2</t>
    </r>
    <r>
      <rPr>
        <b/>
        <sz val="10"/>
        <rFont val="Calibri"/>
        <family val="2"/>
        <charset val="204"/>
      </rPr>
      <t>÷</t>
    </r>
    <r>
      <rPr>
        <b/>
        <sz val="10"/>
        <rFont val="Times New Roman"/>
        <family val="1"/>
        <charset val="204"/>
      </rPr>
      <t>6</t>
    </r>
  </si>
  <si>
    <r>
      <t xml:space="preserve">0-99 %
-20 +60 </t>
    </r>
    <r>
      <rPr>
        <vertAlign val="superscript"/>
        <sz val="8"/>
        <rFont val="Times New Roman"/>
        <family val="1"/>
        <charset val="204"/>
      </rPr>
      <t>0</t>
    </r>
    <r>
      <rPr>
        <vertAlign val="superscript"/>
        <sz val="8"/>
        <rFont val="Times New Roman"/>
        <family val="1"/>
        <charset val="204"/>
      </rPr>
      <t>С</t>
    </r>
  </si>
  <si>
    <r>
      <t xml:space="preserve">± 2%
± 0,2 </t>
    </r>
    <r>
      <rPr>
        <vertAlign val="superscript"/>
        <sz val="8"/>
        <rFont val="Times New Roman"/>
        <family val="1"/>
        <charset val="204"/>
      </rPr>
      <t>0</t>
    </r>
    <r>
      <rPr>
        <vertAlign val="superscript"/>
        <sz val="8"/>
        <rFont val="Times New Roman"/>
        <family val="1"/>
        <charset val="204"/>
      </rPr>
      <t>С</t>
    </r>
  </si>
  <si>
    <t>21.02.2020.</t>
  </si>
  <si>
    <t>№197</t>
  </si>
  <si>
    <t>ООО НПК "АВИАПРИБОР"</t>
  </si>
  <si>
    <t>Барометр М 67</t>
  </si>
  <si>
    <r>
      <t>2</t>
    </r>
    <r>
      <rPr>
        <b/>
        <sz val="10"/>
        <rFont val="Calibri"/>
        <family val="2"/>
        <charset val="204"/>
      </rPr>
      <t>÷</t>
    </r>
    <r>
      <rPr>
        <b/>
        <sz val="10"/>
        <rFont val="Times New Roman"/>
        <family val="1"/>
        <charset val="204"/>
      </rPr>
      <t>9</t>
    </r>
  </si>
  <si>
    <t>610-790
 мм.рт.ст</t>
  </si>
  <si>
    <t>± 0,8 мм.рт.ст.</t>
  </si>
  <si>
    <t>№200</t>
  </si>
  <si>
    <t>РТ2048-02</t>
  </si>
  <si>
    <t>до 2000А</t>
  </si>
  <si>
    <t>±10%</t>
  </si>
  <si>
    <t>№175</t>
  </si>
  <si>
    <t>MIC-2500</t>
  </si>
  <si>
    <t>50,00 кОм…110,0 Гом
(0,01 кОм…0,1 Гом)</t>
  </si>
  <si>
    <t>± (3% и.в.+20 е.м.р.)</t>
  </si>
  <si>
    <t>№301</t>
  </si>
  <si>
    <t>Тепловизор
"TESTO 875-1"</t>
  </si>
  <si>
    <t>05608751</t>
  </si>
  <si>
    <t>В соответствии с  руководством по эксплуатации</t>
  </si>
  <si>
    <t xml:space="preserve"> - </t>
  </si>
  <si>
    <t>№199</t>
  </si>
  <si>
    <t>Тр-р тока измерительный лабораторный
 УТ Т-6М2</t>
  </si>
  <si>
    <t>0-260В, 9А</t>
  </si>
  <si>
    <t>№193</t>
  </si>
  <si>
    <t>Секундомер электрический 
ПВ-53Щ</t>
  </si>
  <si>
    <t>0,01с</t>
  </si>
  <si>
    <t>№291</t>
  </si>
  <si>
    <t>ЛАТР 
suntek I 500</t>
  </si>
  <si>
    <t>0-300B/4A</t>
  </si>
  <si>
    <t>приобретён 26.12.2018г.</t>
  </si>
  <si>
    <t>ИС-20/1</t>
  </si>
  <si>
    <t>2167.17/1988</t>
  </si>
  <si>
    <t>№196</t>
  </si>
  <si>
    <t>Testo 540</t>
  </si>
  <si>
    <t>39029382/203</t>
  </si>
  <si>
    <t>0…99999 Люкс, 0…93000 фут-свеча</t>
  </si>
  <si>
    <r>
      <t>(номин. Темп. 25</t>
    </r>
    <r>
      <rPr>
        <vertAlign val="superscript"/>
        <sz val="8"/>
        <rFont val="Times New Roman"/>
        <family val="1"/>
        <charset val="204"/>
      </rPr>
      <t>0</t>
    </r>
    <r>
      <rPr>
        <vertAlign val="superscript"/>
        <sz val="8"/>
        <rFont val="Times New Roman"/>
        <family val="1"/>
        <charset val="204"/>
      </rPr>
      <t xml:space="preserve">С, </t>
    </r>
    <r>
      <rPr>
        <sz val="8"/>
        <rFont val="Calibri"/>
        <family val="2"/>
        <charset val="204"/>
      </rPr>
      <t>±</t>
    </r>
    <r>
      <rPr>
        <sz val="9.1999999999999993"/>
        <rFont val="Times New Roman"/>
        <family val="1"/>
        <charset val="204"/>
      </rPr>
      <t>1 знач.</t>
    </r>
    <r>
      <rPr>
        <sz val="8"/>
        <rFont val="Times New Roman"/>
        <family val="1"/>
        <charset val="204"/>
      </rPr>
      <t>): 3% от изм. вел.</t>
    </r>
  </si>
  <si>
    <t>№220</t>
  </si>
  <si>
    <t>ИС-10</t>
  </si>
  <si>
    <t>№14133</t>
  </si>
  <si>
    <t>20.03.2020.</t>
  </si>
  <si>
    <t>АО "НПФ"РАЛИО-СЕРВИС"</t>
  </si>
  <si>
    <t xml:space="preserve">выдано Федеральной службой по </t>
  </si>
  <si>
    <t>экологическому, технологическому и атомному</t>
  </si>
  <si>
    <t xml:space="preserve">надзору. (Московское  межрегиональное </t>
  </si>
  <si>
    <t>территориальное  управление технологического</t>
  </si>
  <si>
    <t>и экологического  надзора)</t>
  </si>
  <si>
    <t>Срок действия:</t>
  </si>
  <si>
    <t>№</t>
  </si>
  <si>
    <t>ИСПЫТАНИЙ ЭЛЕКТРОУСТАНОВКИ ЗДАНИЙ</t>
  </si>
  <si>
    <t>(приёмо-сдаточные, для целей сертификации, сличительные, контрольные, эксплуатационные)</t>
  </si>
  <si>
    <t>Заказчик:</t>
  </si>
  <si>
    <t>Наименование объекта:</t>
  </si>
  <si>
    <t xml:space="preserve"> </t>
  </si>
  <si>
    <t>Адрес:</t>
  </si>
  <si>
    <t>Всего листов:</t>
  </si>
  <si>
    <t>МП</t>
  </si>
  <si>
    <t xml:space="preserve"> (подпись)</t>
  </si>
  <si>
    <t>Данный технический отчёт распространяется только на электроустановку, указанную в</t>
  </si>
  <si>
    <t>наименовании объекта и подвергнутую испытаниям. Перепечатка отчёта, снятие копий частично</t>
  </si>
  <si>
    <t xml:space="preserve"> или полностью, воспрещается без разрешения на то заказчика или </t>
  </si>
  <si>
    <t>Исправления и изменения не допускаются.</t>
  </si>
  <si>
    <t>(наименование организации, предприятия)</t>
  </si>
  <si>
    <t>Дата проведения измерений до:</t>
  </si>
  <si>
    <t>СПИСОК</t>
  </si>
  <si>
    <t xml:space="preserve">технической документации. </t>
  </si>
  <si>
    <t>№№
п/п</t>
  </si>
  <si>
    <t>Наименование</t>
  </si>
  <si>
    <t>№
протокола</t>
  </si>
  <si>
    <t>Количество листов</t>
  </si>
  <si>
    <t>Номер листа</t>
  </si>
  <si>
    <t>Список технической документации;</t>
  </si>
  <si>
    <t>Свидетельство о регистрации электролаборатории;</t>
  </si>
  <si>
    <t>Программа испытаний;</t>
  </si>
  <si>
    <t>Пояснительная записка;</t>
  </si>
  <si>
    <t>Протокол визуального осмотра;</t>
  </si>
  <si>
    <t>Протокол наличия цепи между заземленными электроустановками и элементами заземлённой установки;</t>
  </si>
  <si>
    <t>Протокол проверки сопротивления изоляции проводов, кабелей и обмоток электрических машин;</t>
  </si>
  <si>
    <t>Протокол проверки согласования параметров цепи «фаза – нуль» с характеристиками аппаратов защиты и непрерывности защитных проводников;</t>
  </si>
  <si>
    <t>Протокол проверки устройств защитного 
отключения (УЗО);</t>
  </si>
  <si>
    <t>Ведомость дефектов;</t>
  </si>
  <si>
    <t>Приложение к ТО;</t>
  </si>
  <si>
    <t>М.П.</t>
  </si>
  <si>
    <t>(подпись)</t>
  </si>
  <si>
    <t>ПАСПОРТ ОБЪЕКТА</t>
  </si>
  <si>
    <t>1.</t>
  </si>
  <si>
    <t>Наименование заказчика:</t>
  </si>
  <si>
    <t>2.</t>
  </si>
  <si>
    <t xml:space="preserve">Адрес и характеристика объекта: </t>
  </si>
  <si>
    <t xml:space="preserve">электроустановка в составе: </t>
  </si>
  <si>
    <t>3.</t>
  </si>
  <si>
    <t>Наименование проектной организации:</t>
  </si>
  <si>
    <t>Свидетельство:</t>
  </si>
  <si>
    <t>Действительно до:</t>
  </si>
  <si>
    <t>4.</t>
  </si>
  <si>
    <t>Наименование электромонтажной организации:</t>
  </si>
  <si>
    <t>5.</t>
  </si>
  <si>
    <t>Объект,
подвергаемый
испытанию
(проверке)</t>
  </si>
  <si>
    <t>Виды
 испытаний
(проверок)</t>
  </si>
  <si>
    <t>Измеряемые
(проверяемые)
параметры, ха-
рактеристики,
документация</t>
  </si>
  <si>
    <t xml:space="preserve">Нормативные
документы (НД)
</t>
  </si>
  <si>
    <t>Значения измеряемых
(проверяемых) параметров
по проекту, НД, данным
изготовителя</t>
  </si>
  <si>
    <t>Методика  испытаний
(проверки), измерений</t>
  </si>
  <si>
    <t>№
прото-
кола</t>
  </si>
  <si>
    <t>Примечание</t>
  </si>
  <si>
    <t>Электро-установка.</t>
  </si>
  <si>
    <t>Проверка соответствия смонтированной электроустановки и технологии выполнения электромонтажных работ проекту и нормативной документации.</t>
  </si>
  <si>
    <t>Наличие лицензии монтажной организации, документации изготовителей на комплектующие и установочные изделия, сертификатов на электрооборудование, указанные изготовителем, качество монтажа.</t>
  </si>
  <si>
    <t>ПУЭ, ГОСТ Р
50571.1-27-1993-
2003 г.г.
ГОСТ Р 51732-01,
Р51628-00, Р51326-
99, Р51327-99,
Р50030.2-99,
Р50345-99,
7746-01, 7396-89, 
10434-82, СниП
3.05.06-85, РД 34-
21.122-87,
Пр.Минэнерго от
30.06.03 №280,
ВСН 123-90.</t>
  </si>
  <si>
    <t>В соответствии с документацией, указанной в кол.4;5.</t>
  </si>
  <si>
    <t>Проверка производится внешним осмотром и измерением, при необходимости, расстояний, сечений токоведущих частей, сравнением комплектующих и установочных изделий, кабельной продукции, их технических характеристик, технологии монтажа, установки и расположения оборудования с проектом и требованиями нормативных документов.</t>
  </si>
  <si>
    <t xml:space="preserve">Отступления от проектных решений должны быть согласованы с проектной организацией. Демонтаж электроустановки и ее комплектующих сотрудниками ИЛЭЗ на 
всех этапах и видах испытаний не допускается. </t>
  </si>
  <si>
    <t>ЩР, груповые
сети.</t>
  </si>
  <si>
    <t>Измерение сопротивления изоляции, проверка электрической прочности.</t>
  </si>
  <si>
    <t>Сопротивление изоляции.</t>
  </si>
  <si>
    <t>ПУЭ, п.1.8.37.1, табл. 1.8.34; пр. сд.
ПТЭЭП, прил. №3, раздел 6, п.6.2;
раздел 28, п. 28.1; экспл.</t>
  </si>
  <si>
    <t>1. Сопротивление изоляции силовых кабелей напряжением до 1000 В должно быть не ниже  0,5 МОм.
2. Эл. проводки, в том числе осветительные не менее 0,5 МОм.</t>
  </si>
  <si>
    <t xml:space="preserve">п.2. В осветительных сетях должны быть вывинчены лампы, штепсельные розетки и выключатели присоединены.
п.3. Измерения производятся со всеми присоединенными аппаратами (катушки, контакторы, пускатели, выключатели, реле, приборы, вторичные обмотки трансформаторов напряжения и тока).
п.5. Производится при нагретом состоянии плиты.
п.6.  Производится при отсоединенных цепях. </t>
  </si>
  <si>
    <t>Если при внешнем осмотре выявлены повреждения, деформация изоляции или несоответствие ее состояния требованиям НД и изготовителя, не зависимо от результатов испытаний, такое оборудование подлежит замене.
При измерении сопротивления изоляции необходимо учитывать следующее: 
измерение сопротивления изоляции кабелей (за исключением кабелей бронированных) сечением до 16 мм² производится мегомметром на 1000 В, а выше 16 мм² и бронированных — мегаомметром на 2500 В; измерение сопротивления изоляции проводов всех сечений производится мегаомметром на 1000 В.
Если электропроводки, находящиеся в эксплуатации, имеют сопротивление изоляции менее 1 МОм, то заключение об их непригодности делается после испытания их переменным током промышленной частоты напряжением 1 кВ. (изоляция силовых и осветительных эл. проводок). Продолжительность испытания-1мин. Испытательное напряжение-1000В. промышленной частоты. ПТЭЭП, п.28.3/2</t>
  </si>
  <si>
    <t>3. Вторичные цепи распределительных устройств, цепи питания приводов выключателей и разъединителей, цепи управления, защиты, автоматики, телемеханики и т.п. не менее 1 МОм.</t>
  </si>
  <si>
    <t>4. Краны и лифты не менее 0,5 МОм.
5. Стационарные электроплиты не менее
1 МОм. 
6. Шинки постоянного тока и шинки напряжения на щитах управления не менее
10 МОм.</t>
  </si>
  <si>
    <t xml:space="preserve">7. Цепи управления, защиты, автоматики, телемеханики, возбуждения машин постоянного тока на напряжение                     500 - 1000В, присоединенных к главным цепям не менее 1 МОм.
8. Цепи, содержащие устройства с микроэлектронными элементами, рассчитанные на рабочее напряжение, В: 
до 60 не менее 0,5 МОм;
выше 60 не менее 0,5 МОм. </t>
  </si>
  <si>
    <t xml:space="preserve">
Аппараты 
защиты и
защитные
проводники.</t>
  </si>
  <si>
    <t>Проверка надежности срабатывания аппаратов защиты при системе питания ТN и непрерывности защитных проводников.</t>
  </si>
  <si>
    <t>Ток короткого замыкания или сопротивление петли фаза-нуль.</t>
  </si>
  <si>
    <t>ГОСТ Р
50571.16-99
(п.п.612.6; Е 612.2);
ПУЭ
(п.п. 1.8.39.2;
1.7.79)
ПТЭЭП
(приложение 3,
раздел 28, п.28.5).</t>
  </si>
  <si>
    <t>При замыкании фазного проводника на корпус или РЕ проводник должен возникнуть ток, вызывающий отключение питания за нормированное время: для групповых сетей и отдельных инженерных электроприемников – менее 0,4 с; для распределительных сетей – менее 5 с. Выполнение вышеуказанных условий обеспечивает непрерывность защитных проводников.</t>
  </si>
  <si>
    <t>Проверяется путем непосредственного измерения тока короткого замыкания или полного сопротивления петли фаза-нуль с последующим расчетом тока  КЗ на электроприемникиах и оконечных устройствах.</t>
  </si>
  <si>
    <t xml:space="preserve">2;4
</t>
  </si>
  <si>
    <t xml:space="preserve">Непрерывность проводников систем уравнивания потенциалов при невозможности измерения параметров цепи «фаза – нуль» проверяется в соответствии с ПУЭ, п.1.8.39.2; ПТЭЭП, п.28.5, разд.28, прил.3 (Не должно быть обрывов и неуд.контактов. Переход-ное сопротивление контактов должно быть не выше 0,05 Ом.
Значение сопротивления металлосвязи между заземляющим болтом и каждой доступной прикосновению мет. нетоковедущей частью изделия, которая может оказаться под напряжением, не должно превышать 0,1Ом (без учёта сопротивления заземляющих проводников). ГОСТ 12.2.007.0-75 п.3.3.7. </t>
  </si>
  <si>
    <t>Устройство 
защитного
отключения
(УЗО).</t>
  </si>
  <si>
    <t>Проверка расцепителя дифференциального тока.</t>
  </si>
  <si>
    <t>Дифференциальный отключающий ток (I∆).</t>
  </si>
  <si>
    <t xml:space="preserve">ГОСТ Р 51327.1-2010;
</t>
  </si>
  <si>
    <t>Отключающий дифференциальный ток (I∆) должен находиться в пределах 0,5I∆n - I∆n.</t>
  </si>
  <si>
    <t>Проверяется несрабатывание расцепителя при I∆ = 0,5I∆n и 
срабатывание расцепителя при I∆ = I∆n.</t>
  </si>
  <si>
    <t>Дополнительно к измерениям проверяется нажатием кнопки «Тест».</t>
  </si>
  <si>
    <t>ПОЯСНИТЕЛЬНАЯ ЗАПИСКА</t>
  </si>
  <si>
    <t>к техническому отчёту по измерению параметров электроустановки</t>
  </si>
  <si>
    <t>Дата:</t>
  </si>
  <si>
    <t>Настоящая работа проведена с целью проверки технического состояния электроустановки
и определения пригодности ее к дальнейшей эксплуатации.</t>
  </si>
  <si>
    <t>1. ОБЪЕМ ВЫПОЛНЕНИЯ РАБОТ:</t>
  </si>
  <si>
    <t>Визуальный осмотр электроустановки проводился на предмет соответствия нормам безопасности для электрооборудования: ПУЭ, ПТЭЭП, СНиПы, ГОСТы.</t>
  </si>
  <si>
    <t>Результаты осмотра отражены в протоколе</t>
  </si>
  <si>
    <t xml:space="preserve">Проверка наличия цепи между заземлённой электроустановкой и элементами заземления установки проводилась прибором типа МРI-520, заводской № 723895 на соответствие </t>
  </si>
  <si>
    <t xml:space="preserve">ПТЭЭП, приложение 3, раздел 28, п. 28.5. Результаты проверки отражены в </t>
  </si>
  <si>
    <t>протоколе</t>
  </si>
  <si>
    <t xml:space="preserve">Измерения сопротивления изоляции проводов и кабелей (питающие, </t>
  </si>
  <si>
    <t>распределительные и групповые сети) проводились приборами типа МРI-520,</t>
  </si>
  <si>
    <t xml:space="preserve"> заводской № 723895 на напряжение до1000 вольт и МIC-2500, заводской номер 
№ 248181 на напряжение до2500 вольт, на соответствие  ПТЭЭП,</t>
  </si>
  <si>
    <t xml:space="preserve">приложение 3,  раздел 28 п.28.1. </t>
  </si>
  <si>
    <t xml:space="preserve">Результаты измерений отражены в протоколе </t>
  </si>
  <si>
    <t>Проверка согласования параметров цепи "фаза-нуль" с характеристиками аппаратов защиты и непрерывности защитных проводников проводилась приборами MPI-520,</t>
  </si>
  <si>
    <t xml:space="preserve">заводской № 723895 на соответствие ПТЭЭП   приложение  3. раздел 28, п. 28.4. </t>
  </si>
  <si>
    <t>Результаты измерений отражены в протоколе</t>
  </si>
  <si>
    <t xml:space="preserve">Проверка и испытание выключателей автоматических, управляемых </t>
  </si>
  <si>
    <t xml:space="preserve">дифференциальным током (УЗО) проводились пятикратным нажатием кнопки «ТЕСТ» </t>
  </si>
  <si>
    <t>согласно ПТЭЭП, приложение 3, раздел 28, п. 28.7; ГОСТ Р 51327.2010; ГОСТ Р 51327.2-2010; измерениями согласно методическим рекомендациям при проведении испытаний,</t>
  </si>
  <si>
    <t xml:space="preserve">прибором MPI-520 заводской № 723895. Результаты измерений отражены </t>
  </si>
  <si>
    <t xml:space="preserve">в протоколе </t>
  </si>
  <si>
    <t>2. НАЗНАЧЕНИЕ ОБЪЕКТА</t>
  </si>
  <si>
    <t>Объект относится к эл. установкам, расположенным в общественных зданиях.</t>
  </si>
  <si>
    <t xml:space="preserve">3. ТЕХНИЧЕСКАЯ ХАРАКТЕРИСТИКА ОБЪЕКТА </t>
  </si>
  <si>
    <t>Категория надёжности электроснабжения - третья.</t>
  </si>
  <si>
    <t>Электроснабжение объекта осуществляется напряжением 380В от эл. щитовой здания. 
Питание эл. щитов выполнено по трёхфазной пятипроводной схеме. 
Групповые сети выполнены по трёхфазной пятипроводной и однофазой трёхпроводной  схемам.</t>
  </si>
  <si>
    <t>Нейтраль питающего трансформатора глухозаземлённая.</t>
  </si>
  <si>
    <t>Схема внутреннего электроснабжения  выполнена  по системе заземления TN-С-S.</t>
  </si>
  <si>
    <t>Электропроводка выполнена кабелями и проводами марки: ВВГнг-LS, ППГнг-HF, 
ППГнг-FRHF, ВВГнг(А)-FRLSLTx, ПВ1, ПВ3.</t>
  </si>
  <si>
    <t xml:space="preserve">Защита электрических цепей при ненормальных режимах работы осуществляется автоматическими выключателями типа: Tmax T4N, S203, S201,     
и устройствами дифференциальной защиты типа: DSH941.   </t>
  </si>
  <si>
    <t>4. ОСНОВНЫЕ ТРЕБОВАНИЯ НОРМ ПРОВЕДЕНИЯ ИСПЫТАНИЙ ЭЛЕКТРООБОРУДОВАНИЯ И АППАРАТОВ ЭЛЕКТРОУСТАНОВОК</t>
  </si>
  <si>
    <t>Технические требования, предъявляемые к силовым кабелям, эл. проводкам и электроустановкам напряжением до 1000 вольт должны удовлетворять требованиям правил устройства электроустановок – ПТЭЭП.</t>
  </si>
  <si>
    <t xml:space="preserve">Сопротивление изоляции силовых кабелей и эл. проводок, распределительных устройств, щитов и токопроводов напряжением до 1 кВ должно быть не менее 0,5 мОм. ПТЭЭП, приложение 3, раздел 6, п. 6.2., приложение 3.1, таблица №37.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</si>
  <si>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 проверке наличия цепи между заземленной установкой и элементами заземленной установки не должно быть обрывов и неудовлетворительных контактов. Переходное сопротивление контактов должно быть не более 0,05 Ом. ПТЭЭП, приложение 3, раздел 28 п.28.5. 
Непрерывность проводников систем уравнивания потенциалов при невозможности измерения параметров цепи «фаза – нуль» проверяется в соответствии с 
ГОСТ 12.2.007.0-75 п.3.3.7.
Значение сопротивления металлосвязи между заземляющим болтом и каждой доступной прикосновению мет. нетоковедущей частью изделия, которая может оказаться под напряжением, не должно превышать 0,1Ом (без учёта сопротивления заземляющих проводников). ГОСТ 12.2.007.0-75 п.3.3.7.                                                                            </t>
  </si>
  <si>
    <t xml:space="preserve">При проверке срабатывания защиты в эл. установке до 1000 кВ с глухо-заземлённой нейтралью с целью обеспечения автоматом отключения аварийного участка, необходимо чтобы ток КЗ соответствовал требованиям ПТЭЭП, приложение 3., раздел 28, п.28.4, а время отключения соответствовало требованиям ПУЭ, табл.1.7.1.                                                                                            </t>
  </si>
  <si>
    <t xml:space="preserve">При проверке срабатывания автоматических выключателей напряжением до 1000В, ток срабатывания расцепителя короткого замыкания должен находиться в пределах диапазона токов мгновенного расцепления, время его срабатывания – не более 0,1 с для АВ бытового и аналогичного назначения и не более 0,2 c для остальных АВ. Ток и время срабатывания расцепителя перегрузки должны соответствовать его время – токовой характеристике.                                                            </t>
  </si>
  <si>
    <t xml:space="preserve">При проверке срабатывания устройств защитного отключения (УЗО), отключающий дифференциальный ток (I∆) должен находиться в пределах 0,5I∆n - I∆n.
Проверяется несрабатывание расцепителя при I∆ = 0,5I∆n и срабатывание расцепителя при I∆ = I∆n. Дополнительно к измерениям срабатывание проверяется нажатием кнопки «Тест».                                                                                             </t>
  </si>
  <si>
    <t>Электроустановки сетей напряжением до 1000В с глухозаземлённой нейтралью напряжением 380/220В должны иметь значение сопротивления заземляющих устройств  не более 4 Ом при линейном напряжении 380В источника трёхфазного тока.
ПУЭ, п.1.7.101, п.1.8.39 п/п.5, таблица 1.8.38 п.п.3.</t>
  </si>
  <si>
    <t xml:space="preserve">           5. РЕЗУЛЬТАТЫ ПРОВЕРКИ ЭЛ. ОБОРУДОВАНИЯ НА СООТВЕТСТВИЕ НОРМАТИВНЫМ ДОКУМЕНТАМ.                                               </t>
  </si>
  <si>
    <t>Проверил:</t>
  </si>
  <si>
    <t>рук. электролаборатории</t>
  </si>
  <si>
    <t>/Евдокимов А.О./</t>
  </si>
  <si>
    <t>(должность)</t>
  </si>
  <si>
    <t>визуального осмотра</t>
  </si>
  <si>
    <t>1. Анализ исполнительной/проектной документации и существующей схемы эл. установки.</t>
  </si>
  <si>
    <t>2. Проверка соответствия электроустановки нормативной и проектной документации.</t>
  </si>
  <si>
    <t>Наименование составных элементов электроустановки зданий.</t>
  </si>
  <si>
    <t>Нормативная документация и перечень пунктов, устанавливающих требования и значения проверяемых характеристик.</t>
  </si>
  <si>
    <t>Результат
осмотра.</t>
  </si>
  <si>
    <t>1. Щитовые помещения.</t>
  </si>
  <si>
    <t>ПУЭ: 1.1.33 -1.1.36; 7.1.28-7.1.31.</t>
  </si>
  <si>
    <t>Соответствуют
НТД</t>
  </si>
  <si>
    <t>2. Распределительные устройства напряжением до 1000В.
2.1. Вводные и вводно-распределительные устройства (ВУ, ВРУ). 
2.2. Главные и вторичные распределительные щитки: 
групповые, этажные, квартирные.
2.3. Щиты и щитки для питания рекламного освещения, витрин, фасадов, наружного освещения и иллюминации, противопожарных устройств, систем диспетчеризации, световых указателей и огни светового ограждения, звуковой и другой сигнализации, силовых установок.</t>
  </si>
  <si>
    <t xml:space="preserve">ПУЭ: 1.8.34 (п.1); 4.1.3; 4.1.4; 4.1.6;
4.1.7; 4.1.11; 4.1.12-4.1.14; 4.1.21- 4.1.23; 
6.3.15-6.3.24; 7.1.22-7.1.28; 7.1.31; 7.1.34; 7.1.57. ГОСТ Р 51778-2001, п.6.2.24, 6.4.1. </t>
  </si>
  <si>
    <t>Соответствуют
НТД, за исключением замечаний, указанных в ведомости дефектов.</t>
  </si>
  <si>
    <t>3. Устройства автоматического включения резервного питания (АВР).</t>
  </si>
  <si>
    <t>ПУЭ: 3.3.32.</t>
  </si>
  <si>
    <t>4. Вторичные цепи.</t>
  </si>
  <si>
    <t>ПУЭ: 1.8.34(п.1.2.6); 3.4.4; 3.4.5(п.п. 1, 4); 3.4.7; 3.4.9; 3.4.10; 3.4.12-3.4.14; 3.4.16.</t>
  </si>
  <si>
    <t>5. Измерительные трансформаторы.</t>
  </si>
  <si>
    <t>ПУЭ: 1.5.16; 1.5.18; 1.5.23; 1.5.36; 1.5.37.</t>
  </si>
  <si>
    <t>6. Приборы учета электроэнергии.</t>
  </si>
  <si>
    <t>ПУЭ: 1.5.15; 1.5.27;
1.5.29-1.5.31; 1.5.33; 1.5.35-1.5.38;
7.1.59-7.1.66.</t>
  </si>
  <si>
    <t>7. Аппараты защиты (защита электрических сетей до 1 кВ).</t>
  </si>
  <si>
    <t>ПУЭ: 1.8.34(п.п 1.3); 3.1.5-3.1.8; 6.1.34; 7.1.24-7.1.26;</t>
  </si>
  <si>
    <t>8. Электропроводки (питающие, распределительные и групповые сети).</t>
  </si>
  <si>
    <t>ПУЭ: 1.8.37 (п.1); 2.1.14-2.1.17; 2.1.21-2.1.24; 2.1.26; 2.1.28-2.1.30; 2.1.35; 2.1.37-2.1.40; 2.1.42-2.1.45; 2.1.47; 2.1.49; 2.1.50; 2.1.52; 2.1.54-2.1.61; 2.1.63; 2.1.64; 2.1.66-2.1.79; 7.1.21; 7.1.32-7.1.45</t>
  </si>
  <si>
    <t>9. Кабельные линии внутри зданий.</t>
  </si>
  <si>
    <t xml:space="preserve">ПУЭ: 1.3.15; 1.3.16; 1.8.40 (п.п1,2,7,13), 2.3.18; 2.3.20; 2.3.21; 2.3.23; 2.3.33; 2.3.40; 2.3.42; 2.3.48; 2.3.52; 2.3.65; 2.3.71; 2.3.72; 2.3.75; 2.3.109; 2.3.110; 2.3.120; 2.3.123; 2.3.124; 2.3.134; 2.3.135; 7.1.34; 7.1.42-7.1.44; </t>
  </si>
  <si>
    <t>10. Рекламное освещение.</t>
  </si>
  <si>
    <t xml:space="preserve">ПУЭ: 6.1.15; 6.4.1-6.4.18; </t>
  </si>
  <si>
    <t>11. Внутреннее освещение: осветительная арматура и патроны, электроустановочные изделия.</t>
  </si>
  <si>
    <t>ПУЭ: 6.1.10-6.1.14; 6.1.16-6.1.44; 6.6.1-6.6.31; 7.1.46-7.1.54;</t>
  </si>
  <si>
    <t>Соответствует
НТД, за исключением замечаний, указанных в ведомости дефектов.</t>
  </si>
  <si>
    <t>12. Заземляющие устройства.</t>
  </si>
  <si>
    <t xml:space="preserve">ПУЭ: 1.7.55; 1.7.61-1.7.63; 1.7.71-1.7.76; 1.7.78; 1.7.79; 1.7.80-1.7.87;
1.7.90-1.7.98; 1.8.39; 7.1.67-7.1.69; 7.1.87; 7.1.88; </t>
  </si>
  <si>
    <t>13. Система молниезащиты.</t>
  </si>
  <si>
    <t xml:space="preserve">РД 34.21.122-87 «Инструкция по устройству молниезащиты зданий и сооружений».
СО 153-34.21.122-2003, п.4.4.2.                </t>
  </si>
  <si>
    <t>14. Маркировка элементов электроустановки, буквенно-цифровые и цветные маркировки токоведущих проводников, нулевых рабочих и защитных проводников, выводы аппаратов.</t>
  </si>
  <si>
    <t xml:space="preserve">ПУЭ: 1.1.29; 1.130; 2.1.31.
Проверка маркировки элементов электроустановок, буквенная, цифровая и цветовая маркировка токоведущих проводников, нулевых рабочих и защитных проводников, выводов аппаратов. </t>
  </si>
  <si>
    <r>
      <t>Заключение:</t>
    </r>
    <r>
      <rPr>
        <b/>
        <u/>
        <sz val="12"/>
        <rFont val="Times New Roman"/>
        <family val="1"/>
        <charset val="204"/>
      </rPr>
      <t xml:space="preserve"> </t>
    </r>
  </si>
  <si>
    <t>Испытания провели:</t>
  </si>
  <si>
    <t>(Ф.И.О.)</t>
  </si>
  <si>
    <t>инженер</t>
  </si>
  <si>
    <t>Протокол проверил:</t>
  </si>
  <si>
    <t>Частичная или полная перепечатка и размножение только с разрешения испытательной лаборатории.</t>
  </si>
  <si>
    <t>Исправления не допускаются. Протокол распространяется только на элементы электроустановки, подвергнутые проверке (испытаниям).</t>
  </si>
  <si>
    <t xml:space="preserve">проверки наличия цепи между заземлёнными установками </t>
  </si>
  <si>
    <t>и элементами заземлённой установки</t>
  </si>
  <si>
    <t>Температура воздуха</t>
  </si>
  <si>
    <t>Влажность воздуха</t>
  </si>
  <si>
    <t>Атмосферное давление</t>
  </si>
  <si>
    <t xml:space="preserve">Цель измерений (испытаний)                                                                            </t>
  </si>
  <si>
    <t xml:space="preserve"> (приёмо-сдаточные, сличительные, контрольные испытания, эксплуатационные, для целей сертификации) </t>
  </si>
  <si>
    <t>Нормативные и технические документы, на соответствие требованиям которых проведены измерения (испытания): ПТЭЭП, табл. 28, пункт 28.5, ГОСТ 12.2.007.0-75 п.3.3.7.</t>
  </si>
  <si>
    <t>1.  Результаты измерений.</t>
  </si>
  <si>
    <t>Месторасположение и наименование
электрооборудования.</t>
  </si>
  <si>
    <t>Количество проверенных элементов.</t>
  </si>
  <si>
    <r>
      <t>R</t>
    </r>
    <r>
      <rPr>
        <sz val="10"/>
        <rFont val="Times New Roman"/>
        <family val="1"/>
        <charset val="204"/>
      </rPr>
      <t>перех</t>
    </r>
    <r>
      <rPr>
        <sz val="12"/>
        <rFont val="Times New Roman"/>
        <family val="1"/>
        <charset val="204"/>
      </rPr>
      <t>. измеренное, (Ом).</t>
    </r>
  </si>
  <si>
    <t>пом. №220</t>
  </si>
  <si>
    <t>ЩС-1</t>
  </si>
  <si>
    <t>Корпус щита-шина РЕ (болтовое соединение)</t>
  </si>
  <si>
    <t>Дверь щита-проводник РЕ</t>
  </si>
  <si>
    <t>Шина РЕ щита-проводник РЕ</t>
  </si>
  <si>
    <t>ЩО-1</t>
  </si>
  <si>
    <t>пом. №214</t>
  </si>
  <si>
    <t>Мет. лотки для прокладки кабелей-проводник РЕ</t>
  </si>
  <si>
    <r>
      <rPr>
        <sz val="12"/>
        <rFont val="Calibri"/>
        <family val="2"/>
        <charset val="204"/>
      </rPr>
      <t>&gt;</t>
    </r>
    <r>
      <rPr>
        <sz val="12"/>
        <rFont val="Times New Roman"/>
        <family val="1"/>
        <charset val="204"/>
      </rPr>
      <t>0,05</t>
    </r>
  </si>
  <si>
    <t xml:space="preserve">Мет. конструкции* </t>
  </si>
  <si>
    <t>Воздуховоды вентиляции*</t>
  </si>
  <si>
    <t>ЩС-2</t>
  </si>
  <si>
    <t>Клемма РЕ-проводник РЕ</t>
  </si>
  <si>
    <t>ЩО-2</t>
  </si>
  <si>
    <t>пом. №101</t>
  </si>
  <si>
    <t>Контур основной системы уравнивания потенциалов</t>
  </si>
  <si>
    <r>
      <t>Шина контура (полоса 4х40 мм</t>
    </r>
    <r>
      <rPr>
        <vertAlign val="superscript"/>
        <sz val="12"/>
        <rFont val="Times New Roman"/>
        <family val="1"/>
        <charset val="204"/>
      </rPr>
      <t>2</t>
    </r>
    <r>
      <rPr>
        <vertAlign val="superscript"/>
        <sz val="12"/>
        <rFont val="Times New Roman"/>
        <family val="1"/>
        <charset val="204"/>
      </rPr>
      <t>)</t>
    </r>
  </si>
  <si>
    <t>Мет. лотки для прокладки кабелей</t>
  </si>
  <si>
    <t>Корпус вент. установки ПВ1-проводник РЕ</t>
  </si>
  <si>
    <t>Корпус вент. установки ПВ2-проводник РЕ</t>
  </si>
  <si>
    <t>Закладные трубы мет. для прокладки кабелей</t>
  </si>
  <si>
    <t>ВРЩ</t>
  </si>
  <si>
    <t>Дверь щита</t>
  </si>
  <si>
    <t>Вывод вторичной обмотки ТТ №1-проводник РЕ</t>
  </si>
  <si>
    <t>Вывод вторичной обмотки ТТ №2-проводник РЕ</t>
  </si>
  <si>
    <t>Вывод вторичной обмотки ТТ №3-проводник РЕ</t>
  </si>
  <si>
    <t>ЩВ</t>
  </si>
  <si>
    <t>ЩС-3</t>
  </si>
  <si>
    <t>ЩС-4</t>
  </si>
  <si>
    <t>ЩО-3</t>
  </si>
  <si>
    <t>ЩО-4</t>
  </si>
  <si>
    <t>ЩР б/№ (слева)</t>
  </si>
  <si>
    <t>ЩР б/№ (справа)</t>
  </si>
  <si>
    <t>2. Проверка проведена приборами:</t>
  </si>
  <si>
    <t>Орган гос. метрологической службы,
проводивший поверку</t>
  </si>
  <si>
    <t>Выводы:</t>
  </si>
  <si>
    <t>a)</t>
  </si>
  <si>
    <t>Проверена целостность и прочность проводников заземления и зануления, переходные контакты их соединений, болтовые соединения проверены на затяжку, сварные – ударом молотка.</t>
  </si>
  <si>
    <t>b)</t>
  </si>
  <si>
    <r>
      <t>Переходное сопротивление контактов выше нормы, указаны в п.</t>
    </r>
    <r>
      <rPr>
        <u/>
        <sz val="10"/>
        <rFont val="Times New Roman"/>
        <family val="1"/>
        <charset val="204"/>
      </rPr>
      <t xml:space="preserve"> № 7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</t>
    </r>
  </si>
  <si>
    <t>c)</t>
  </si>
  <si>
    <r>
      <t>Не заземлено оборудование, указанное в п.п.</t>
    </r>
    <r>
      <rPr>
        <u/>
        <sz val="10"/>
        <rFont val="Times New Roman"/>
        <family val="1"/>
        <charset val="204"/>
      </rPr>
      <t xml:space="preserve"> № № 17,18,22,24,48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</si>
  <si>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при приемо-сдаточных испытаниях и для целей сертификации проверяются переходные сопротивления контактных соединений защитных проводников, непрерывность которых измерением параметров  цепи  «фаза-нуль»  проверить  невозможно  (например,  проводники  основной  системы уравнивания потенциалов). Переходное сопротивление контактов должно быть не более 0,05 Ом. ПТЭЭП, табл. 28, пункт 28.5
Значение сопротивления металлосвязи между заземляющим болтом и каждой доступной прикосновению мет. нетоковедущей частью изделия, которая может оказаться под напряжением, не должно превышать 0,1Ом (без учёта сопротивления заземляющих проводников). ГОСТ 12.2.007.0-75 п.3.3.7. </t>
    </r>
  </si>
  <si>
    <t>*отсутствует видимое заземление п.п.№№8,9,21. ПУЭ, п.1.7.140.</t>
  </si>
  <si>
    <t>Результаты измерений п.п. №№ 1÷6,10÷16,19,20,23,25÷47,49 соответствуют требованиям ПТЭЭП, табл. 28, пункт 28.5, ГОСТ 12.2.007.0-75 п.3.3.7.
Результаты измерений п.п. №№7,8,9,17,18,21,22,24,48 не соответствуют требованиям ПТЭЭП, табл. 28, пункт 28.5, ГОСТ 12.2.007.0-75 п.3.3.7.</t>
  </si>
  <si>
    <t xml:space="preserve">                       (наименование организации, предприятия)</t>
  </si>
  <si>
    <t>проверки сопротивления изоляции проводов, кабелей и обмоток электрических машин.</t>
  </si>
  <si>
    <t>°С.</t>
  </si>
  <si>
    <t>%</t>
  </si>
  <si>
    <r>
      <t>Цель измерений (испытаний)</t>
    </r>
    <r>
      <rPr>
        <b/>
        <u/>
        <sz val="8"/>
        <rFont val="Times New Roman"/>
        <family val="1"/>
        <charset val="204"/>
      </rPr>
      <t xml:space="preserve">                                                                            </t>
    </r>
  </si>
  <si>
    <t>Нормативные и технические документы, на соответствие требованиям которых проведены измерения (испытания):</t>
  </si>
  <si>
    <t>ПТЭЭП, прил. №3, раздел 6, п.6.2, раздел 28, п. 28.1.</t>
  </si>
  <si>
    <t>Наименование линий, электрических машин по проекту, рабочее напряжение.</t>
  </si>
  <si>
    <t>Марка провода, кабеля, коли-
чество жил сечение провода, кабеля. (мм²)</t>
  </si>
  <si>
    <t>Напряже-
ние мегаом-
метра (В).</t>
  </si>
  <si>
    <t>Допуст. сопрот. изоля-
ции не менее (МОм).</t>
  </si>
  <si>
    <t>Сопротивление изоляции, (МОм).</t>
  </si>
  <si>
    <t>Фазы</t>
  </si>
  <si>
    <t>Сопротивление изоляции, (МОм)</t>
  </si>
  <si>
    <t>А-В
L1-L2</t>
  </si>
  <si>
    <t>В-С
L2-L3</t>
  </si>
  <si>
    <t>A-C
L3-L1</t>
  </si>
  <si>
    <t>A-N
(PEN)
L1-N</t>
  </si>
  <si>
    <t>B-N
(PEN)
L2-N</t>
  </si>
  <si>
    <t>C-N
(PEN)
L3-N</t>
  </si>
  <si>
    <t>A-PE
L1-PE</t>
  </si>
  <si>
    <t>B-PE
L2-PE</t>
  </si>
  <si>
    <t>C-PE
L3-PE</t>
  </si>
  <si>
    <t xml:space="preserve">
N-PE</t>
  </si>
  <si>
    <t>Линия от</t>
  </si>
  <si>
    <t xml:space="preserve"> DQA1</t>
  </si>
  <si>
    <t>ППГнг-HF</t>
  </si>
  <si>
    <t>3х</t>
  </si>
  <si>
    <t xml:space="preserve"> DQA2</t>
  </si>
  <si>
    <t xml:space="preserve"> DQA3</t>
  </si>
  <si>
    <t xml:space="preserve"> DQA4</t>
  </si>
  <si>
    <t xml:space="preserve"> DQA5</t>
  </si>
  <si>
    <t xml:space="preserve"> DQA6</t>
  </si>
  <si>
    <t xml:space="preserve"> DQA7</t>
  </si>
  <si>
    <t xml:space="preserve"> DQA8</t>
  </si>
  <si>
    <t xml:space="preserve"> QF1</t>
  </si>
  <si>
    <t>Линия1 от</t>
  </si>
  <si>
    <t xml:space="preserve"> QF2</t>
  </si>
  <si>
    <t>Линия2 от</t>
  </si>
  <si>
    <t>ППГнг-FRHF</t>
  </si>
  <si>
    <t xml:space="preserve"> QF3</t>
  </si>
  <si>
    <t xml:space="preserve"> QF4</t>
  </si>
  <si>
    <t xml:space="preserve"> QF5</t>
  </si>
  <si>
    <t xml:space="preserve"> QF6</t>
  </si>
  <si>
    <t xml:space="preserve"> QF7</t>
  </si>
  <si>
    <t xml:space="preserve"> QF8</t>
  </si>
  <si>
    <t>5х</t>
  </si>
  <si>
    <t xml:space="preserve"> QF9</t>
  </si>
  <si>
    <t xml:space="preserve"> QF10</t>
  </si>
  <si>
    <t xml:space="preserve"> QF11</t>
  </si>
  <si>
    <t xml:space="preserve"> QF12</t>
  </si>
  <si>
    <t xml:space="preserve"> QF13</t>
  </si>
  <si>
    <t>ВВГнг(А)-FRLS 3х2,5</t>
  </si>
  <si>
    <t xml:space="preserve"> QF14</t>
  </si>
  <si>
    <t xml:space="preserve"> DQA9</t>
  </si>
  <si>
    <t xml:space="preserve"> DQA10</t>
  </si>
  <si>
    <t xml:space="preserve"> DQA11</t>
  </si>
  <si>
    <t xml:space="preserve"> DQA12</t>
  </si>
  <si>
    <t>Зав. номер</t>
  </si>
  <si>
    <t>Орган государственной метрологической службы,
проводивший поверку</t>
  </si>
  <si>
    <t>Примечание:</t>
  </si>
  <si>
    <t>Результаты измерений п.п. № №1÷68 соответствуют требованиям ПТЭЭП, прил. №3, раздел 6, п.6.2, раздел 28, п. 28.1.</t>
  </si>
  <si>
    <t xml:space="preserve">                (наименование организации, предприятия)</t>
  </si>
  <si>
    <t xml:space="preserve">ПУЭ, п.1.8.37.1, табл. 1.8.34. ПУЭ, п.1.8.40.2. </t>
  </si>
  <si>
    <t>Марка провода, кабеля, коли-
чество жил сечение провода, кабеля. (мм²).</t>
  </si>
  <si>
    <t>ВВГнг</t>
  </si>
  <si>
    <t xml:space="preserve">*Провод марки ПВС не соответствует по условиям применения.
*Провод марки ПУНП запрещён к применеию. Обоснование запрета применения проводов ПУНП на напряжение 220 или 250 В в электропроводках зданий и сооружений при ремонтах и строительстве дано в Технических циркулярах Ассоциации «Росэлектромонтаж», являющихся дополнением к ПУЭ (Правила устройства электроустановок). Введен в действие с 14.09.2007 г. Технический циркуляр № 17/2007. </t>
  </si>
  <si>
    <r>
      <t>Результаты измерений п.п. № №</t>
    </r>
    <r>
      <rPr>
        <sz val="12"/>
        <color indexed="10"/>
        <rFont val="Times New Roman"/>
        <family val="1"/>
        <charset val="204"/>
      </rPr>
      <t>1÷16</t>
    </r>
    <r>
      <rPr>
        <sz val="12"/>
        <color indexed="8"/>
        <rFont val="Times New Roman"/>
        <family val="1"/>
        <charset val="204"/>
      </rPr>
      <t xml:space="preserve"> соответствуют требованиям ПУЭ, п.1.8.37.1, табл. 1.8.34; ПУЭ, п.1.8.40,2.</t>
    </r>
  </si>
  <si>
    <t>проверки согласования параметров цепи «фаза – нуль» с характеристиками аппаратов защиты и непрерывности защитных проводников</t>
  </si>
  <si>
    <t>Цель измерений (испытаний)</t>
  </si>
  <si>
    <t xml:space="preserve"> (приёмо-сдаточные, сличительные, эксплуатационные, контрольные испытания, для целей сертификации) </t>
  </si>
  <si>
    <t xml:space="preserve">Нормативные и технические документы, на соответствие требованиям которых проведены измерения (испытания): </t>
  </si>
  <si>
    <t>ПТЭЭП Приложение 3. табл. 28.4.</t>
  </si>
  <si>
    <r>
      <t>1.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2"/>
        <rFont val="Times New Roman"/>
        <family val="1"/>
        <charset val="204"/>
      </rPr>
      <t>Результаты измерений:</t>
    </r>
  </si>
  <si>
    <t>Наименование защищаемого участка или номер защитного аппарата.</t>
  </si>
  <si>
    <t>Защитный аппарат
(предохранитель,
автоматический
выключатель).</t>
  </si>
  <si>
    <t>Измеренное значение
 сопротивления цепи
«фаза – нуль», (Ом).</t>
  </si>
  <si>
    <t>Измеренное
(расчётное) значение
тока однофазного
замыкания, (А).</t>
  </si>
  <si>
    <t>Iк.з. изм. (расч.)/Iн. пл. вст. (Iном. эл.
м. расц.) в соответствии с ПТЭЭП.</t>
  </si>
  <si>
    <t>Примечание.</t>
  </si>
  <si>
    <t>Iн.
авт.
 (А)</t>
  </si>
  <si>
    <t>Измеренное
(расчётное) значение
тока однофазного
замыкания, (А)</t>
  </si>
  <si>
    <t>Хар-ка
(в)</t>
  </si>
  <si>
    <t>Тип.</t>
  </si>
  <si>
    <t>Iном. тепл. рацепителя
 (А).</t>
  </si>
  <si>
    <t>I эл.
 м.
расц.
(Iн.
пл.
вст.)
А.</t>
  </si>
  <si>
    <t>Допустимое.</t>
  </si>
  <si>
    <t>Фактическое.</t>
  </si>
  <si>
    <t>Тепл.
расц.</t>
  </si>
  <si>
    <t>Эл. м.
расц.</t>
  </si>
  <si>
    <t>DSH941</t>
  </si>
  <si>
    <t>S201</t>
  </si>
  <si>
    <t>S203</t>
  </si>
  <si>
    <r>
      <t>2.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2"/>
        <rFont val="Times New Roman"/>
        <family val="1"/>
        <charset val="204"/>
      </rPr>
      <t xml:space="preserve"> Проверка проведена приборами:</t>
    </r>
  </si>
  <si>
    <t>Обозначение типов расцепителей:</t>
  </si>
  <si>
    <r>
      <rPr>
        <b/>
        <sz val="10"/>
        <rFont val="Times New Roman"/>
        <family val="1"/>
        <charset val="204"/>
      </rPr>
      <t>1. В, С, D, L</t>
    </r>
    <r>
      <rPr>
        <sz val="10"/>
        <rFont val="Times New Roman"/>
        <family val="1"/>
        <charset val="204"/>
      </rPr>
      <t xml:space="preserve"> – тип мгновенного расцепления по ГОСТ Р 50345-2010.</t>
    </r>
  </si>
  <si>
    <t>3. НВВ – максимальный расцепитель тока с независимой выдержкой времени.</t>
  </si>
  <si>
    <t>2. ОВВ – максимальный расцепитель тока с обратнозависимой выдержкой времени.</t>
  </si>
  <si>
    <t>4. МД – максимальный расцепитель тока мгновенного действия.</t>
  </si>
</sst>
</file>

<file path=xl/styles.xml><?xml version="1.0" encoding="utf-8"?>
<styleSheet xmlns="http://schemas.openxmlformats.org/spreadsheetml/2006/main">
  <numFmts count="2">
    <numFmt numFmtId="172" formatCode="_-* #,##0.00_р_._-;\-* #,##0.00_р_._-;_-* &quot;-&quot;??_р_._-;_-@_-"/>
    <numFmt numFmtId="173" formatCode="0.0"/>
  </numFmts>
  <fonts count="92">
    <font>
      <sz val="10"/>
      <color rgb="FF00000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20"/>
      <color indexed="8"/>
      <name val="Arial Cyr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u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0"/>
      <color indexed="8"/>
      <name val="Arial Cyr"/>
      <family val="2"/>
      <charset val="204"/>
    </font>
    <font>
      <sz val="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sz val="11"/>
      <color indexed="8"/>
      <name val="Arial Cyr"/>
      <family val="2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u/>
      <sz val="14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u/>
      <sz val="13"/>
      <color indexed="8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"/>
      <color indexed="8"/>
      <name val="Arial Cyr"/>
      <family val="2"/>
      <charset val="204"/>
    </font>
    <font>
      <b/>
      <sz val="6"/>
      <color indexed="8"/>
      <name val="Times New Roman"/>
      <family val="1"/>
      <charset val="204"/>
    </font>
    <font>
      <sz val="16"/>
      <color indexed="8"/>
      <name val="Arial Cyr"/>
      <family val="2"/>
      <charset val="204"/>
    </font>
    <font>
      <u/>
      <sz val="16"/>
      <color indexed="8"/>
      <name val="Times New Roman"/>
      <family val="1"/>
      <charset val="204"/>
    </font>
    <font>
      <vertAlign val="superscript"/>
      <sz val="12"/>
      <color indexed="8"/>
      <name val="Cambria"/>
      <family val="1"/>
      <charset val="204"/>
    </font>
    <font>
      <vertAlign val="superscript"/>
      <sz val="10"/>
      <color indexed="8"/>
      <name val="Cambria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Courier New"/>
      <family val="3"/>
      <charset val="204"/>
    </font>
    <font>
      <sz val="12"/>
      <color indexed="8"/>
      <name val="Courier New"/>
      <family val="3"/>
      <charset val="204"/>
    </font>
    <font>
      <b/>
      <sz val="8"/>
      <color indexed="10"/>
      <name val="Arial"/>
      <family val="2"/>
      <charset val="204"/>
    </font>
    <font>
      <sz val="8"/>
      <color indexed="8"/>
      <name val="Courier New"/>
      <family val="3"/>
      <charset val="204"/>
    </font>
    <font>
      <b/>
      <sz val="8"/>
      <color indexed="8"/>
      <name val="Arial"/>
      <family val="2"/>
      <charset val="204"/>
    </font>
    <font>
      <b/>
      <sz val="17"/>
      <color indexed="8"/>
      <name val="Arial"/>
      <family val="2"/>
      <charset val="204"/>
    </font>
    <font>
      <u/>
      <sz val="12"/>
      <color indexed="10"/>
      <name val="Times New Roman"/>
      <family val="1"/>
      <charset val="204"/>
    </font>
    <font>
      <u/>
      <sz val="14"/>
      <color indexed="8"/>
      <name val="Arial Cyr"/>
      <family val="2"/>
      <charset val="204"/>
    </font>
    <font>
      <b/>
      <u/>
      <sz val="10"/>
      <color indexed="8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Symbol"/>
      <family val="1"/>
      <charset val="2"/>
    </font>
    <font>
      <sz val="10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9.199999999999999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50"/>
        <bgColor indexed="9"/>
      </patternFill>
    </fill>
    <fill>
      <patternFill patternType="solid">
        <fgColor indexed="40"/>
        <bgColor indexed="9"/>
      </patternFill>
    </fill>
    <fill>
      <patternFill patternType="solid">
        <fgColor indexed="31"/>
        <bgColor indexed="9"/>
      </patternFill>
    </fill>
    <fill>
      <patternFill patternType="solid">
        <fgColor indexed="17"/>
        <bgColor indexed="9"/>
      </patternFill>
    </fill>
    <fill>
      <patternFill patternType="solid">
        <fgColor indexed="36"/>
        <bgColor indexed="9"/>
      </patternFill>
    </fill>
    <fill>
      <patternFill patternType="solid">
        <fgColor indexed="10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4">
    <xf numFmtId="0" fontId="0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172" fontId="65" fillId="0" borderId="0" applyFont="0" applyFill="0" applyBorder="0" applyAlignment="0" applyProtection="0"/>
  </cellStyleXfs>
  <cellXfs count="1007">
    <xf numFmtId="0" fontId="0" fillId="0" borderId="0" xfId="0"/>
    <xf numFmtId="0" fontId="91" fillId="0" borderId="0" xfId="2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 indent="2"/>
    </xf>
    <xf numFmtId="0" fontId="12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49" fontId="0" fillId="0" borderId="0" xfId="0" applyNumberFormat="1"/>
    <xf numFmtId="0" fontId="16" fillId="2" borderId="6" xfId="0" applyFont="1" applyFill="1" applyBorder="1" applyAlignment="1">
      <alignment horizontal="center" vertical="center"/>
    </xf>
    <xf numFmtId="0" fontId="20" fillId="0" borderId="0" xfId="0" applyFont="1"/>
    <xf numFmtId="0" fontId="16" fillId="3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justify" vertical="top" wrapText="1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91" fillId="0" borderId="0" xfId="2" applyAlignment="1">
      <alignment horizontal="center" vertical="center"/>
    </xf>
    <xf numFmtId="0" fontId="91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2" fillId="0" borderId="0" xfId="2" applyFont="1" applyAlignment="1">
      <alignment horizontal="center" vertical="top"/>
    </xf>
    <xf numFmtId="0" fontId="9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91" fillId="0" borderId="0" xfId="2" applyAlignment="1">
      <alignment vertical="center"/>
    </xf>
    <xf numFmtId="0" fontId="91" fillId="0" borderId="0" xfId="2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center"/>
    </xf>
    <xf numFmtId="0" fontId="23" fillId="0" borderId="0" xfId="0" applyFont="1"/>
    <xf numFmtId="0" fontId="26" fillId="5" borderId="6" xfId="0" applyFont="1" applyFill="1" applyBorder="1" applyAlignment="1">
      <alignment horizontal="centerContinuous" vertical="center" wrapText="1"/>
    </xf>
    <xf numFmtId="0" fontId="26" fillId="5" borderId="14" xfId="0" applyFont="1" applyFill="1" applyBorder="1" applyAlignment="1">
      <alignment horizontal="centerContinuous" vertical="center" wrapText="1"/>
    </xf>
    <xf numFmtId="0" fontId="0" fillId="5" borderId="10" xfId="0" applyFill="1" applyBorder="1" applyAlignment="1">
      <alignment horizontal="centerContinuous" vertical="center" wrapText="1"/>
    </xf>
    <xf numFmtId="0" fontId="0" fillId="5" borderId="9" xfId="0" applyFill="1" applyBorder="1" applyAlignment="1">
      <alignment horizontal="centerContinuous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6" fillId="5" borderId="10" xfId="0" applyFont="1" applyFill="1" applyBorder="1" applyAlignment="1">
      <alignment horizontal="centerContinuous" vertical="center" wrapText="1"/>
    </xf>
    <xf numFmtId="0" fontId="26" fillId="5" borderId="9" xfId="0" applyFont="1" applyFill="1" applyBorder="1" applyAlignment="1">
      <alignment horizontal="centerContinuous" vertical="center" wrapText="1"/>
    </xf>
    <xf numFmtId="0" fontId="26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indent="2"/>
    </xf>
    <xf numFmtId="0" fontId="27" fillId="0" borderId="0" xfId="0" applyFont="1" applyAlignment="1">
      <alignment vertical="center"/>
    </xf>
    <xf numFmtId="0" fontId="3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2" xfId="0" applyFont="1" applyBorder="1"/>
    <xf numFmtId="0" fontId="29" fillId="0" borderId="13" xfId="0" applyFont="1" applyBorder="1"/>
    <xf numFmtId="0" fontId="15" fillId="0" borderId="0" xfId="0" applyFont="1" applyAlignment="1">
      <alignment horizontal="center"/>
    </xf>
    <xf numFmtId="0" fontId="29" fillId="0" borderId="2" xfId="0" applyFont="1" applyBorder="1"/>
    <xf numFmtId="0" fontId="29" fillId="0" borderId="0" xfId="0" applyFont="1"/>
    <xf numFmtId="0" fontId="29" fillId="0" borderId="13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15" fillId="0" borderId="0" xfId="0" applyFont="1"/>
    <xf numFmtId="0" fontId="15" fillId="0" borderId="2" xfId="0" applyFont="1" applyBorder="1"/>
    <xf numFmtId="0" fontId="1" fillId="0" borderId="2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left" indent="2"/>
    </xf>
    <xf numFmtId="0" fontId="0" fillId="0" borderId="2" xfId="0" applyBorder="1"/>
    <xf numFmtId="0" fontId="33" fillId="0" borderId="13" xfId="0" applyFont="1" applyBorder="1" applyAlignment="1">
      <alignment horizontal="left"/>
    </xf>
    <xf numFmtId="0" fontId="29" fillId="0" borderId="3" xfId="0" applyFont="1" applyBorder="1"/>
    <xf numFmtId="0" fontId="15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4" xfId="0" applyFont="1" applyBorder="1"/>
    <xf numFmtId="0" fontId="2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/>
    <xf numFmtId="0" fontId="4" fillId="4" borderId="6" xfId="0" applyFont="1" applyFill="1" applyBorder="1" applyAlignment="1">
      <alignment horizontal="center"/>
    </xf>
    <xf numFmtId="49" fontId="19" fillId="7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wrapText="1"/>
    </xf>
    <xf numFmtId="49" fontId="0" fillId="0" borderId="0" xfId="3" applyNumberFormat="1" applyFont="1"/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6" borderId="0" xfId="0" applyFont="1" applyFill="1" applyBorder="1"/>
    <xf numFmtId="0" fontId="4" fillId="0" borderId="10" xfId="0" applyFont="1" applyBorder="1" applyAlignment="1">
      <alignment horizontal="centerContinuous" vertical="center" wrapText="1"/>
    </xf>
    <xf numFmtId="0" fontId="21" fillId="0" borderId="9" xfId="0" applyFont="1" applyBorder="1" applyAlignment="1">
      <alignment horizontal="centerContinuous" vertical="center" wrapText="1"/>
    </xf>
    <xf numFmtId="0" fontId="21" fillId="6" borderId="0" xfId="0" applyFont="1" applyFill="1" applyBorder="1"/>
    <xf numFmtId="0" fontId="4" fillId="0" borderId="9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justify" vertical="center" wrapText="1"/>
    </xf>
    <xf numFmtId="173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4" fillId="0" borderId="0" xfId="0" applyFont="1"/>
    <xf numFmtId="0" fontId="3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Continuous" vertical="center" wrapText="1"/>
    </xf>
    <xf numFmtId="0" fontId="36" fillId="6" borderId="6" xfId="0" applyFont="1" applyFill="1" applyBorder="1"/>
    <xf numFmtId="0" fontId="36" fillId="0" borderId="0" xfId="0" applyFont="1"/>
    <xf numFmtId="0" fontId="9" fillId="0" borderId="14" xfId="0" applyFont="1" applyBorder="1" applyAlignment="1">
      <alignment horizontal="centerContinuous" vertical="center"/>
    </xf>
    <xf numFmtId="0" fontId="36" fillId="0" borderId="10" xfId="0" applyFont="1" applyBorder="1" applyAlignment="1">
      <alignment horizontal="centerContinuous" vertical="center"/>
    </xf>
    <xf numFmtId="0" fontId="36" fillId="0" borderId="9" xfId="0" applyFont="1" applyBorder="1" applyAlignment="1">
      <alignment horizontal="centerContinuous" vertical="center"/>
    </xf>
    <xf numFmtId="3" fontId="26" fillId="6" borderId="6" xfId="0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4" borderId="6" xfId="0" applyFont="1" applyFill="1" applyBorder="1"/>
    <xf numFmtId="0" fontId="1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5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/>
    </xf>
    <xf numFmtId="0" fontId="18" fillId="0" borderId="0" xfId="0" applyFont="1" applyAlignment="1">
      <alignment vertical="center" wrapText="1"/>
    </xf>
    <xf numFmtId="0" fontId="6" fillId="0" borderId="0" xfId="0" applyFont="1"/>
    <xf numFmtId="0" fontId="37" fillId="0" borderId="0" xfId="0" applyFont="1"/>
    <xf numFmtId="0" fontId="18" fillId="0" borderId="0" xfId="0" applyFont="1"/>
    <xf numFmtId="0" fontId="4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" fillId="6" borderId="0" xfId="0" applyFont="1" applyFill="1" applyBorder="1"/>
    <xf numFmtId="0" fontId="17" fillId="0" borderId="0" xfId="0" applyFont="1"/>
    <xf numFmtId="0" fontId="17" fillId="6" borderId="0" xfId="0" applyFont="1" applyFill="1" applyBorder="1"/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3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8" fillId="0" borderId="0" xfId="0" applyFont="1" applyAlignment="1">
      <alignment horizontal="centerContinuous"/>
    </xf>
    <xf numFmtId="0" fontId="15" fillId="0" borderId="13" xfId="0" applyFont="1" applyBorder="1"/>
    <xf numFmtId="0" fontId="4" fillId="0" borderId="2" xfId="0" applyFont="1" applyBorder="1"/>
    <xf numFmtId="0" fontId="0" fillId="4" borderId="8" xfId="0" applyFill="1" applyBorder="1"/>
    <xf numFmtId="0" fontId="33" fillId="0" borderId="0" xfId="0" applyFont="1"/>
    <xf numFmtId="0" fontId="4" fillId="4" borderId="8" xfId="0" applyFont="1" applyFill="1" applyBorder="1"/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4" fillId="0" borderId="10" xfId="0" applyFont="1" applyBorder="1" applyAlignment="1">
      <alignment horizontal="left"/>
    </xf>
    <xf numFmtId="0" fontId="32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0" fontId="9" fillId="5" borderId="14" xfId="0" applyFont="1" applyFill="1" applyBorder="1" applyAlignment="1">
      <alignment horizontal="centerContinuous" vertical="center" wrapText="1"/>
    </xf>
    <xf numFmtId="0" fontId="1" fillId="5" borderId="10" xfId="0" applyFont="1" applyFill="1" applyBorder="1" applyAlignment="1">
      <alignment horizontal="centerContinuous" vertical="center" wrapText="1"/>
    </xf>
    <xf numFmtId="0" fontId="1" fillId="5" borderId="9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left"/>
    </xf>
    <xf numFmtId="0" fontId="4" fillId="0" borderId="6" xfId="0" applyFont="1" applyBorder="1" applyAlignment="1">
      <alignment horizontal="justify" vertical="top" wrapText="1"/>
    </xf>
    <xf numFmtId="0" fontId="1" fillId="4" borderId="8" xfId="0" applyFont="1" applyFill="1" applyBorder="1"/>
    <xf numFmtId="0" fontId="4" fillId="0" borderId="10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/>
    </xf>
    <xf numFmtId="0" fontId="4" fillId="4" borderId="1" xfId="0" applyFont="1" applyFill="1" applyBorder="1"/>
    <xf numFmtId="0" fontId="0" fillId="0" borderId="1" xfId="0" applyBorder="1"/>
    <xf numFmtId="0" fontId="3" fillId="0" borderId="17" xfId="0" applyFont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6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4" fillId="0" borderId="1" xfId="0" applyFont="1" applyBorder="1" applyAlignment="1">
      <alignment wrapText="1"/>
    </xf>
    <xf numFmtId="0" fontId="46" fillId="0" borderId="0" xfId="0" applyFont="1"/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3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25" fillId="0" borderId="0" xfId="0" applyFont="1"/>
    <xf numFmtId="0" fontId="31" fillId="0" borderId="0" xfId="0" applyFont="1"/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13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9" fillId="0" borderId="2" xfId="0" applyFont="1" applyBorder="1" applyAlignment="1">
      <alignment vertical="top"/>
    </xf>
    <xf numFmtId="0" fontId="29" fillId="0" borderId="13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horizontal="centerContinuous" vertical="top"/>
    </xf>
    <xf numFmtId="0" fontId="45" fillId="0" borderId="0" xfId="2" applyFont="1" applyAlignment="1">
      <alignment vertical="top"/>
    </xf>
    <xf numFmtId="0" fontId="47" fillId="0" borderId="0" xfId="2" applyFont="1" applyAlignment="1">
      <alignment horizontal="center" vertical="top"/>
    </xf>
    <xf numFmtId="0" fontId="4" fillId="0" borderId="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3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6" fillId="6" borderId="6" xfId="0" applyFont="1" applyFill="1" applyBorder="1" applyAlignment="1">
      <alignment vertical="center"/>
    </xf>
    <xf numFmtId="0" fontId="26" fillId="0" borderId="0" xfId="0" applyFont="1"/>
    <xf numFmtId="0" fontId="3" fillId="6" borderId="6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1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13" xfId="0" applyFont="1" applyBorder="1" applyAlignment="1">
      <alignment vertical="top"/>
    </xf>
    <xf numFmtId="0" fontId="43" fillId="0" borderId="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2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1" fillId="3" borderId="6" xfId="0" applyFont="1" applyFill="1" applyBorder="1"/>
    <xf numFmtId="0" fontId="1" fillId="6" borderId="6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2" fillId="0" borderId="6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8" fillId="0" borderId="0" xfId="0" applyFont="1" applyAlignment="1">
      <alignment vertical="top"/>
    </xf>
    <xf numFmtId="0" fontId="52" fillId="0" borderId="0" xfId="0" applyFont="1" applyAlignment="1">
      <alignment horizontal="right"/>
    </xf>
    <xf numFmtId="0" fontId="59" fillId="0" borderId="6" xfId="0" applyFont="1" applyBorder="1" applyAlignment="1">
      <alignment horizontal="center" vertical="center" wrapText="1"/>
    </xf>
    <xf numFmtId="0" fontId="55" fillId="0" borderId="0" xfId="0" applyFont="1"/>
    <xf numFmtId="0" fontId="58" fillId="0" borderId="0" xfId="0" applyFont="1"/>
    <xf numFmtId="0" fontId="54" fillId="0" borderId="0" xfId="0" applyFont="1" applyAlignment="1">
      <alignment horizontal="left" indent="6"/>
    </xf>
    <xf numFmtId="0" fontId="6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2" fillId="0" borderId="2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9" borderId="6" xfId="0" applyFont="1" applyFill="1" applyBorder="1"/>
    <xf numFmtId="0" fontId="3" fillId="1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1" fillId="9" borderId="14" xfId="0" applyFont="1" applyFill="1" applyBorder="1"/>
    <xf numFmtId="0" fontId="3" fillId="9" borderId="9" xfId="0" applyFont="1" applyFill="1" applyBorder="1" applyAlignment="1">
      <alignment horizontal="center" vertical="center"/>
    </xf>
    <xf numFmtId="0" fontId="3" fillId="9" borderId="14" xfId="0" applyFont="1" applyFill="1" applyBorder="1"/>
    <xf numFmtId="0" fontId="3" fillId="9" borderId="9" xfId="0" applyFont="1" applyFill="1" applyBorder="1"/>
    <xf numFmtId="49" fontId="19" fillId="8" borderId="8" xfId="0" applyNumberFormat="1" applyFont="1" applyFill="1" applyBorder="1" applyAlignment="1">
      <alignment horizontal="center" wrapText="1"/>
    </xf>
    <xf numFmtId="0" fontId="3" fillId="0" borderId="6" xfId="2" applyFont="1" applyBorder="1" applyAlignment="1">
      <alignment horizontal="center" vertical="center" wrapText="1"/>
    </xf>
    <xf numFmtId="14" fontId="3" fillId="0" borderId="6" xfId="2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4" fillId="0" borderId="25" xfId="0" applyFont="1" applyBorder="1"/>
    <xf numFmtId="0" fontId="2" fillId="0" borderId="24" xfId="0" applyFont="1" applyBorder="1" applyAlignment="1">
      <alignment horizontal="center"/>
    </xf>
    <xf numFmtId="0" fontId="1" fillId="0" borderId="25" xfId="0" applyFont="1" applyBorder="1"/>
    <xf numFmtId="0" fontId="0" fillId="0" borderId="26" xfId="0" applyBorder="1"/>
    <xf numFmtId="0" fontId="1" fillId="0" borderId="27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3" fillId="3" borderId="6" xfId="0" applyFont="1" applyFill="1" applyBorder="1"/>
    <xf numFmtId="0" fontId="0" fillId="0" borderId="6" xfId="0" applyBorder="1"/>
    <xf numFmtId="0" fontId="1" fillId="3" borderId="6" xfId="0" applyFont="1" applyFill="1" applyBorder="1"/>
    <xf numFmtId="0" fontId="0" fillId="3" borderId="6" xfId="0" applyFill="1" applyBorder="1"/>
    <xf numFmtId="0" fontId="3" fillId="3" borderId="14" xfId="0" applyFont="1" applyFill="1" applyBorder="1"/>
    <xf numFmtId="0" fontId="0" fillId="0" borderId="10" xfId="0" applyBorder="1"/>
    <xf numFmtId="0" fontId="0" fillId="0" borderId="9" xfId="0" applyBorder="1"/>
    <xf numFmtId="0" fontId="1" fillId="0" borderId="0" xfId="0" applyFont="1"/>
    <xf numFmtId="0" fontId="0" fillId="0" borderId="0" xfId="0"/>
    <xf numFmtId="0" fontId="1" fillId="6" borderId="6" xfId="0" applyFont="1" applyFill="1" applyBorder="1"/>
    <xf numFmtId="0" fontId="3" fillId="9" borderId="14" xfId="0" applyFont="1" applyFill="1" applyBorder="1"/>
    <xf numFmtId="0" fontId="0" fillId="9" borderId="10" xfId="0" applyFill="1" applyBorder="1"/>
    <xf numFmtId="0" fontId="0" fillId="9" borderId="9" xfId="0" applyFill="1" applyBorder="1"/>
    <xf numFmtId="0" fontId="3" fillId="9" borderId="6" xfId="0" applyFont="1" applyFill="1" applyBorder="1"/>
    <xf numFmtId="0" fontId="0" fillId="9" borderId="6" xfId="0" applyFill="1" applyBorder="1"/>
    <xf numFmtId="0" fontId="1" fillId="9" borderId="14" xfId="0" applyFont="1" applyFill="1" applyBorder="1"/>
    <xf numFmtId="0" fontId="3" fillId="6" borderId="14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4" borderId="6" xfId="0" applyFont="1" applyFill="1" applyBorder="1"/>
    <xf numFmtId="0" fontId="0" fillId="4" borderId="6" xfId="0" applyFill="1" applyBorder="1"/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9" fillId="0" borderId="0" xfId="0" applyFont="1" applyAlignment="1">
      <alignment vertical="top" wrapText="1"/>
    </xf>
    <xf numFmtId="0" fontId="8" fillId="0" borderId="1" xfId="0" applyFont="1" applyBorder="1" applyAlignment="1">
      <alignment horizontal="left" indent="2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9" fontId="16" fillId="0" borderId="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90" fillId="0" borderId="0" xfId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25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5" xfId="0" applyFont="1" applyBorder="1" applyAlignment="1">
      <alignment horizontal="center" vertical="top" wrapText="1"/>
    </xf>
    <xf numFmtId="0" fontId="5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5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2" fillId="0" borderId="5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4" fontId="16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21" fillId="0" borderId="0" xfId="0" applyFont="1"/>
    <xf numFmtId="0" fontId="45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6" borderId="16" xfId="0" applyFill="1" applyBorder="1"/>
    <xf numFmtId="0" fontId="0" fillId="6" borderId="15" xfId="0" applyFill="1" applyBorder="1"/>
    <xf numFmtId="173" fontId="1" fillId="0" borderId="14" xfId="0" applyNumberFormat="1" applyFont="1" applyBorder="1" applyAlignment="1">
      <alignment horizontal="center" vertical="center" wrapText="1"/>
    </xf>
    <xf numFmtId="173" fontId="1" fillId="0" borderId="9" xfId="0" applyNumberFormat="1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0" fontId="4" fillId="6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8" xfId="0" applyFont="1" applyBorder="1"/>
    <xf numFmtId="0" fontId="0" fillId="0" borderId="0" xfId="0" applyAlignment="1">
      <alignment horizontal="right" wrapText="1"/>
    </xf>
    <xf numFmtId="0" fontId="46" fillId="0" borderId="5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6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0" fillId="6" borderId="8" xfId="0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4" fillId="0" borderId="5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46" fillId="0" borderId="5" xfId="0" applyFont="1" applyBorder="1" applyAlignment="1">
      <alignment vertical="top"/>
    </xf>
    <xf numFmtId="0" fontId="45" fillId="0" borderId="5" xfId="0" applyFont="1" applyBorder="1" applyAlignment="1">
      <alignment horizontal="center" vertical="top" wrapText="1"/>
    </xf>
    <xf numFmtId="0" fontId="3" fillId="0" borderId="0" xfId="0" applyFont="1"/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1" fillId="0" borderId="0" xfId="0" applyFont="1"/>
    <xf numFmtId="0" fontId="46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9" xfId="0" applyFont="1" applyBorder="1"/>
    <xf numFmtId="0" fontId="8" fillId="0" borderId="0" xfId="0" applyFont="1"/>
    <xf numFmtId="0" fontId="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46" fillId="0" borderId="5" xfId="0" applyFont="1" applyBorder="1"/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19" fillId="0" borderId="14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1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" fillId="0" borderId="6" xfId="0" applyFont="1" applyBorder="1"/>
    <xf numFmtId="0" fontId="9" fillId="5" borderId="9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2" xfId="0" applyFont="1" applyBorder="1"/>
    <xf numFmtId="0" fontId="0" fillId="0" borderId="3" xfId="0" applyBorder="1"/>
    <xf numFmtId="0" fontId="0" fillId="0" borderId="4" xfId="0" applyBorder="1"/>
    <xf numFmtId="14" fontId="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/>
    <xf numFmtId="0" fontId="7" fillId="5" borderId="6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0" fillId="0" borderId="5" xfId="0" applyBorder="1"/>
    <xf numFmtId="0" fontId="4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9" fontId="3" fillId="0" borderId="11" xfId="2" applyNumberFormat="1" applyFont="1" applyBorder="1" applyAlignment="1">
      <alignment horizontal="center" vertical="center" wrapText="1"/>
    </xf>
    <xf numFmtId="14" fontId="3" fillId="0" borderId="11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4" fontId="3" fillId="0" borderId="8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14" fontId="3" fillId="0" borderId="6" xfId="2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4" fontId="3" fillId="0" borderId="6" xfId="2" applyNumberFormat="1" applyFont="1" applyBorder="1" applyAlignment="1">
      <alignment horizontal="center" vertical="center" wrapText="1"/>
    </xf>
    <xf numFmtId="14" fontId="3" fillId="0" borderId="14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4" fillId="0" borderId="1" xfId="2" applyFont="1" applyBorder="1"/>
    <xf numFmtId="0" fontId="45" fillId="0" borderId="5" xfId="2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28" fillId="0" borderId="0" xfId="0" applyFont="1" applyAlignment="1">
      <alignment horizontal="center" vertical="top"/>
    </xf>
    <xf numFmtId="0" fontId="30" fillId="0" borderId="0" xfId="0" applyFont="1" applyAlignment="1">
      <alignment vertical="top" wrapText="1"/>
    </xf>
    <xf numFmtId="0" fontId="31" fillId="0" borderId="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9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3" fontId="21" fillId="0" borderId="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12" xfId="0" applyBorder="1"/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 customBuiltin="1"/>
    <cellStyle name="Обычный 2" xfId="2"/>
    <cellStyle name="Финансовый" xfId="3" builtinId="3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86;&#1090;&#1095;&#1105;&#1090;&#1099;%20&#1074;%20&#1088;&#1072;&#1073;&#1086;&#1090;&#1077;%202016/&#1087;&#1088;&#1086;&#1090;&#1086;&#1082;&#1086;&#1083;%20&#1076;&#1083;&#1103;%20&#1089;&#1083;&#1072;&#1073;&#1086;&#1090;&#1086;&#1095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.ENGENEER3/&#1056;&#1072;&#1073;&#1086;&#1095;&#1080;&#1081;%20&#1089;&#1090;&#1086;&#1083;/&#1050;&#1086;&#1087;&#1080;&#1103;%20&#1056;&#1067;&#1041;&#1040;/&#1088;&#1099;&#1073;&#1072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"/>
      <sheetName val="1.Титул "/>
      <sheetName val="Список Т.Д. к Т.О. №500 п-с и э"/>
      <sheetName val="Паспорт к Т.О. №533 п-с"/>
      <sheetName val="Пр. исп. к Т.О. №533 п-с и э"/>
      <sheetName val="П.З. к Т.О. №500 э"/>
      <sheetName val="Протокол № 533-1 п-с и э"/>
      <sheetName val="Протокол №533-2 п-с и э"/>
      <sheetName val="Протокол №500-3 э"/>
      <sheetName val="Протокол №533-3 п-с"/>
      <sheetName val="Протокол №503-4 э"/>
      <sheetName val="Протокол №533-4 п-с"/>
      <sheetName val="Протокол № 533-5 п-с"/>
      <sheetName val="Протокол № 533-6 п-с и э"/>
      <sheetName val="Протокол №533-7 заявка"/>
      <sheetName val="Протокол №533-8 заявка"/>
      <sheetName val="Протокол №533-9 заявка"/>
      <sheetName val="Протокол №500-10 заявка"/>
      <sheetName val="Протокол  №500-11 заявка"/>
      <sheetName val="Протокол №500-12 заявка"/>
      <sheetName val="В.Д. к Т.О. №533 п-с и э"/>
      <sheetName val="Пер.Приб. к Т.О. №500 заявка"/>
      <sheetName val="Заключение к Т.О. №533 п-с"/>
      <sheetName val="Лист1"/>
      <sheetName val="Протокол №500-3 п-с (пож. каб.)"/>
    </sheetNames>
    <sheetDataSet>
      <sheetData sheetId="0">
        <row r="11">
          <cell r="B11" t="str">
            <v>Евдокимов А.О.</v>
          </cell>
        </row>
        <row r="12">
          <cell r="B12" t="str">
            <v>Кокшаров С.В.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№ 533-15 п-с и э (2)"/>
      <sheetName val="Исходник "/>
      <sheetName val="1.Титул "/>
      <sheetName val="Список Т.Д. к Т.О. №500 п-с и э"/>
      <sheetName val="Паспорт к Т.О. №533 п-с"/>
      <sheetName val="Пр. исп. к Т.О. №533 п-с и э"/>
      <sheetName val="П.З. к Т.О. №500 э"/>
      <sheetName val="Протокол №533-2 п-с и э"/>
      <sheetName val="Протокол №500-3 э"/>
      <sheetName val="Протокол №533-3 п-с"/>
      <sheetName val="Протокол №503-4 э"/>
      <sheetName val="Протокол №533-4 п-с"/>
      <sheetName val="Протокол № 533-5 п-с"/>
      <sheetName val="Протокол № 533-6 п-с и э"/>
      <sheetName val="Протокол №533-7 заявка"/>
      <sheetName val="Протокол №533-8 заявка"/>
      <sheetName val="Протокол №533-9 заявка"/>
      <sheetName val="Протокол №500-10 заявка"/>
      <sheetName val="Протокол  №500-11 заявка"/>
      <sheetName val="Протокол №500-12 заявка"/>
      <sheetName val="В.Д. к Т.О. №502 п-с и э"/>
      <sheetName val="Пер.Приб. к Т.О. №500 заявка"/>
      <sheetName val="Заключение к Т.О. №533 п-с"/>
      <sheetName val="Протокол №500-13 п-с (пож.) "/>
      <sheetName val="Протокол №500-14 э "/>
    </sheetNames>
    <sheetDataSet>
      <sheetData sheetId="0"/>
      <sheetData sheetId="1">
        <row r="3">
          <cell r="B3" t="str">
            <v>ООО «ТМ-Электро»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melectro.ru/elektrolaborator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opLeftCell="A19" zoomScale="70" workbookViewId="0">
      <selection activeCell="B9" sqref="B9:G10"/>
    </sheetView>
  </sheetViews>
  <sheetFormatPr defaultRowHeight="12.75" outlineLevelRow="1"/>
  <cols>
    <col min="1" max="1" width="47.7109375" customWidth="1"/>
    <col min="2" max="2" width="19" customWidth="1"/>
    <col min="3" max="3" width="2.140625" customWidth="1"/>
    <col min="4" max="4" width="19" customWidth="1"/>
    <col min="6" max="6" width="11.85546875" customWidth="1"/>
    <col min="7" max="7" width="9.85546875" customWidth="1"/>
    <col min="8" max="8" width="8" customWidth="1"/>
    <col min="9" max="9" width="3.140625" customWidth="1"/>
    <col min="10" max="10" width="3.85546875" customWidth="1"/>
    <col min="11" max="11" width="9.5703125" customWidth="1"/>
    <col min="12" max="12" width="16.7109375" customWidth="1"/>
    <col min="13" max="13" width="0.85546875" customWidth="1"/>
    <col min="14" max="14" width="1.7109375" customWidth="1"/>
    <col min="15" max="15" width="11.85546875" customWidth="1"/>
    <col min="23" max="23" width="10.140625" customWidth="1"/>
  </cols>
  <sheetData>
    <row r="1" spans="1:28" ht="57" customHeight="1">
      <c r="A1" s="2" t="s">
        <v>439</v>
      </c>
      <c r="B1" s="3"/>
      <c r="C1" s="3"/>
      <c r="D1" s="145"/>
      <c r="E1" s="145"/>
      <c r="F1" s="145"/>
      <c r="G1" s="405" t="s">
        <v>440</v>
      </c>
      <c r="H1" s="28" t="s">
        <v>441</v>
      </c>
      <c r="I1" s="3"/>
      <c r="J1" s="5"/>
      <c r="K1" s="5"/>
      <c r="L1" s="139" t="s">
        <v>442</v>
      </c>
      <c r="M1" s="3"/>
      <c r="N1" s="3"/>
      <c r="O1" s="140" t="s">
        <v>443</v>
      </c>
      <c r="P1" s="140" t="s">
        <v>444</v>
      </c>
      <c r="Q1" s="140" t="s">
        <v>445</v>
      </c>
      <c r="R1" s="443"/>
      <c r="S1" s="444"/>
      <c r="T1" s="443"/>
      <c r="U1" s="444"/>
      <c r="V1" s="443"/>
      <c r="W1" s="444"/>
      <c r="X1" s="3"/>
      <c r="Y1" s="3"/>
      <c r="Z1" s="3"/>
      <c r="AA1" s="3"/>
      <c r="AB1" s="3"/>
    </row>
    <row r="2" spans="1:28" ht="34.5" customHeight="1">
      <c r="A2" s="2" t="s">
        <v>446</v>
      </c>
      <c r="B2" s="3"/>
      <c r="C2" s="3"/>
      <c r="D2" s="409" t="s">
        <v>447</v>
      </c>
      <c r="E2" s="145"/>
      <c r="F2" s="145"/>
      <c r="G2" s="406" t="s">
        <v>448</v>
      </c>
      <c r="H2" s="26" t="s">
        <v>449</v>
      </c>
      <c r="I2" s="3"/>
      <c r="K2" s="141"/>
      <c r="L2" s="142">
        <v>1</v>
      </c>
      <c r="M2" s="3"/>
      <c r="N2" s="3"/>
      <c r="O2" s="414" t="s">
        <v>450</v>
      </c>
      <c r="P2" s="414" t="s">
        <v>451</v>
      </c>
      <c r="Q2" s="143" t="s">
        <v>452</v>
      </c>
      <c r="R2" s="443"/>
      <c r="S2" s="444"/>
      <c r="T2" s="443"/>
      <c r="U2" s="444"/>
      <c r="V2" s="443"/>
      <c r="W2" s="444"/>
      <c r="X2" s="3"/>
      <c r="Y2" s="3"/>
      <c r="Z2" s="3"/>
      <c r="AA2" s="3"/>
      <c r="AB2" s="3"/>
    </row>
    <row r="3" spans="1:28" ht="19.5" customHeight="1">
      <c r="A3" s="2" t="s">
        <v>453</v>
      </c>
      <c r="B3" s="2" t="s">
        <v>454</v>
      </c>
      <c r="C3" s="3"/>
      <c r="D3" s="410" t="s">
        <v>455</v>
      </c>
      <c r="E3" s="411"/>
      <c r="F3" s="145"/>
      <c r="G3" s="224" t="s">
        <v>441</v>
      </c>
      <c r="H3" s="29" t="s">
        <v>456</v>
      </c>
      <c r="I3" s="3"/>
      <c r="K3" s="141"/>
      <c r="L3" s="142">
        <v>2</v>
      </c>
      <c r="M3" s="3"/>
      <c r="N3" s="3"/>
      <c r="O3" s="436"/>
      <c r="P3" s="437"/>
      <c r="Q3" s="437"/>
      <c r="R3" s="437"/>
      <c r="S3" s="437"/>
      <c r="T3" s="437"/>
      <c r="U3" s="378"/>
      <c r="V3" s="438"/>
      <c r="W3" s="439"/>
      <c r="X3" s="3"/>
      <c r="Y3" s="3"/>
      <c r="Z3" s="3"/>
      <c r="AA3" s="3"/>
      <c r="AB3" s="3"/>
    </row>
    <row r="4" spans="1:28" ht="18.75" customHeight="1">
      <c r="A4" s="4" t="s">
        <v>457</v>
      </c>
      <c r="B4" s="5"/>
      <c r="C4" s="5"/>
      <c r="D4" s="145"/>
      <c r="E4" s="145"/>
      <c r="F4" s="145"/>
      <c r="G4" s="407" t="s">
        <v>449</v>
      </c>
      <c r="H4" s="29" t="s">
        <v>458</v>
      </c>
      <c r="I4" s="5"/>
      <c r="K4" s="141"/>
      <c r="L4" s="142">
        <v>3</v>
      </c>
      <c r="M4" s="5"/>
      <c r="N4" s="5"/>
      <c r="O4" s="440"/>
      <c r="P4" s="441"/>
      <c r="Q4" s="441"/>
      <c r="R4" s="441"/>
      <c r="S4" s="441"/>
      <c r="T4" s="442"/>
      <c r="U4" s="5"/>
      <c r="V4" s="438"/>
      <c r="W4" s="439"/>
      <c r="X4" s="5"/>
      <c r="Y4" s="5"/>
      <c r="Z4" s="5"/>
      <c r="AA4" s="5"/>
      <c r="AB4" s="5"/>
    </row>
    <row r="5" spans="1:28" ht="17.25" customHeight="1">
      <c r="A5" s="2" t="s">
        <v>459</v>
      </c>
      <c r="B5" s="379" t="s">
        <v>460</v>
      </c>
      <c r="D5" s="2"/>
      <c r="E5" s="137"/>
      <c r="F5" s="137"/>
      <c r="G5" s="408" t="s">
        <v>458</v>
      </c>
      <c r="K5" s="141"/>
      <c r="L5" s="142">
        <v>4</v>
      </c>
      <c r="O5" s="452"/>
      <c r="P5" s="441"/>
      <c r="Q5" s="441"/>
      <c r="R5" s="441"/>
      <c r="S5" s="441"/>
      <c r="T5" s="442"/>
      <c r="U5" s="379"/>
      <c r="V5" s="445"/>
      <c r="W5" s="437"/>
    </row>
    <row r="6" spans="1:28" ht="21.75" customHeight="1">
      <c r="A6" s="2" t="s">
        <v>461</v>
      </c>
      <c r="B6" s="445" t="s">
        <v>462</v>
      </c>
      <c r="C6" s="437"/>
      <c r="J6" s="151"/>
      <c r="K6" s="151"/>
      <c r="L6" s="27"/>
      <c r="O6" s="452"/>
      <c r="P6" s="441"/>
      <c r="Q6" s="441"/>
      <c r="R6" s="441"/>
      <c r="S6" s="441"/>
      <c r="T6" s="442"/>
      <c r="V6" s="445"/>
      <c r="W6" s="437"/>
    </row>
    <row r="7" spans="1:28" ht="21.75" customHeight="1">
      <c r="A7" s="2" t="s">
        <v>463</v>
      </c>
      <c r="B7" s="445" t="s">
        <v>464</v>
      </c>
      <c r="C7" s="437"/>
      <c r="J7" s="151"/>
      <c r="K7" s="151"/>
      <c r="L7" s="27"/>
      <c r="O7" s="446"/>
      <c r="P7" s="447"/>
      <c r="Q7" s="447"/>
      <c r="R7" s="447"/>
      <c r="S7" s="447"/>
      <c r="T7" s="448"/>
      <c r="U7" s="404"/>
      <c r="V7" s="412"/>
      <c r="W7" s="413"/>
    </row>
    <row r="8" spans="1:28" ht="21.75" customHeight="1">
      <c r="A8" s="2"/>
      <c r="B8" s="2"/>
      <c r="J8" s="151"/>
      <c r="K8" s="151"/>
      <c r="L8" s="27"/>
      <c r="O8" s="449"/>
      <c r="P8" s="450"/>
      <c r="Q8" s="450"/>
      <c r="R8" s="450"/>
      <c r="S8" s="450"/>
      <c r="T8" s="450"/>
      <c r="U8" s="2"/>
      <c r="V8" s="451"/>
      <c r="W8" s="448"/>
    </row>
    <row r="9" spans="1:28" ht="18.75" customHeight="1">
      <c r="A9" s="6" t="s">
        <v>465</v>
      </c>
      <c r="B9" s="452"/>
      <c r="C9" s="441"/>
      <c r="D9" s="441"/>
      <c r="E9" s="441"/>
      <c r="F9" s="441"/>
      <c r="G9" s="442"/>
      <c r="H9" s="234" t="s">
        <v>466</v>
      </c>
      <c r="J9" s="151"/>
      <c r="K9" s="151"/>
      <c r="L9" s="27"/>
      <c r="O9" s="6"/>
      <c r="P9" s="6"/>
      <c r="Q9" s="6"/>
      <c r="R9" s="6"/>
      <c r="S9" s="6"/>
      <c r="T9" s="6"/>
      <c r="U9" s="6"/>
      <c r="V9" s="6"/>
    </row>
    <row r="10" spans="1:28" ht="19.5" customHeight="1">
      <c r="A10" s="6" t="s">
        <v>467</v>
      </c>
      <c r="B10" s="452"/>
      <c r="C10" s="441"/>
      <c r="D10" s="441"/>
      <c r="E10" s="441"/>
      <c r="F10" s="441"/>
      <c r="G10" s="442"/>
      <c r="H10" s="234" t="s">
        <v>468</v>
      </c>
      <c r="J10" s="151"/>
      <c r="K10" s="151"/>
      <c r="L10" s="27"/>
      <c r="O10" s="6"/>
    </row>
    <row r="11" spans="1:28" ht="15.75" customHeight="1">
      <c r="A11" s="6" t="s">
        <v>469</v>
      </c>
      <c r="B11" s="7" t="s">
        <v>470</v>
      </c>
      <c r="H11" s="234" t="s">
        <v>471</v>
      </c>
      <c r="J11" s="151"/>
      <c r="K11" s="151"/>
      <c r="L11" s="27"/>
      <c r="O11" s="6"/>
      <c r="P11" s="6"/>
      <c r="Q11" s="6"/>
      <c r="R11" s="6"/>
      <c r="S11" s="6"/>
      <c r="T11" s="6"/>
      <c r="U11" s="6"/>
      <c r="V11" s="6"/>
    </row>
    <row r="12" spans="1:28" ht="22.5" customHeight="1">
      <c r="A12" s="6" t="s">
        <v>472</v>
      </c>
      <c r="B12" s="4" t="s">
        <v>473</v>
      </c>
      <c r="D12" s="253" t="str">
        <f>CONCATENATE("№",B$16,"-1")</f>
        <v>№505-1</v>
      </c>
      <c r="F12" s="320" t="str">
        <f>CONCATENATE("№",B$16,"-7")</f>
        <v>№505-7</v>
      </c>
      <c r="H12" s="234" t="s">
        <v>474</v>
      </c>
      <c r="J12" s="151"/>
      <c r="K12" s="151"/>
      <c r="L12" s="27"/>
      <c r="O12" s="6"/>
      <c r="P12" s="6"/>
      <c r="Q12" s="6"/>
      <c r="R12" s="6"/>
      <c r="S12" s="6"/>
      <c r="T12" s="6"/>
      <c r="U12" s="6"/>
      <c r="V12" s="6"/>
    </row>
    <row r="13" spans="1:28" ht="21.75" customHeight="1">
      <c r="A13" s="6" t="s">
        <v>475</v>
      </c>
      <c r="B13" s="4" t="s">
        <v>476</v>
      </c>
      <c r="D13" s="253" t="str">
        <f>CONCATENATE("№",B$16,"-2")</f>
        <v>№505-2</v>
      </c>
      <c r="F13" s="320" t="str">
        <f>CONCATENATE("№",B$16,"-8")</f>
        <v>№505-8</v>
      </c>
      <c r="H13" s="234" t="s">
        <v>477</v>
      </c>
      <c r="J13" s="151"/>
      <c r="K13" s="38"/>
      <c r="L13" s="27"/>
      <c r="O13" s="6" t="s">
        <v>478</v>
      </c>
      <c r="S13" s="7"/>
      <c r="T13" s="6"/>
      <c r="X13" s="7"/>
    </row>
    <row r="14" spans="1:28" ht="20.25">
      <c r="A14" s="6" t="s">
        <v>479</v>
      </c>
      <c r="B14" s="77" t="s">
        <v>480</v>
      </c>
      <c r="D14" s="253" t="str">
        <f>CONCATENATE("№",B$16,"-3")</f>
        <v>№505-3</v>
      </c>
      <c r="F14" s="320" t="str">
        <f>CONCATENATE("№",B$16,"-9")</f>
        <v>№505-9</v>
      </c>
      <c r="H14" s="234" t="s">
        <v>481</v>
      </c>
      <c r="J14" s="151"/>
      <c r="K14" s="38"/>
      <c r="L14" s="27"/>
      <c r="O14" s="6"/>
      <c r="S14" s="7"/>
      <c r="T14" s="7"/>
      <c r="U14" s="7"/>
      <c r="V14" s="7"/>
      <c r="W14" s="7"/>
      <c r="X14" s="7"/>
    </row>
    <row r="15" spans="1:28" ht="25.5" customHeight="1">
      <c r="A15" s="251" t="s">
        <v>482</v>
      </c>
      <c r="B15" s="252">
        <v>343700</v>
      </c>
      <c r="D15" s="253" t="str">
        <f>CONCATENATE("№",B$16,"-4")</f>
        <v>№505-4</v>
      </c>
      <c r="F15" s="320" t="str">
        <f>CONCATENATE("№",B$16,"-10")</f>
        <v>№505-10</v>
      </c>
      <c r="H15" s="234" t="s">
        <v>483</v>
      </c>
      <c r="J15" s="151"/>
      <c r="K15" s="38"/>
      <c r="L15" s="27"/>
      <c r="O15" s="6"/>
      <c r="S15" s="7"/>
      <c r="T15" s="7"/>
      <c r="U15" s="7"/>
      <c r="V15" s="7"/>
      <c r="W15" s="7"/>
      <c r="X15" s="7"/>
    </row>
    <row r="16" spans="1:28" ht="20.25">
      <c r="A16" s="9" t="s">
        <v>484</v>
      </c>
      <c r="B16" s="33">
        <v>505</v>
      </c>
      <c r="D16" s="253" t="str">
        <f>CONCATENATE("№",B$16,"-5")</f>
        <v>№505-5</v>
      </c>
      <c r="F16" s="320" t="str">
        <f>CONCATENATE("№",B$16,"-11")</f>
        <v>№505-11</v>
      </c>
      <c r="H16" s="234" t="s">
        <v>485</v>
      </c>
      <c r="J16" s="151"/>
      <c r="K16" s="38"/>
      <c r="L16" s="27"/>
      <c r="O16" s="6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:28" ht="20.25">
      <c r="A17" s="9" t="s">
        <v>486</v>
      </c>
      <c r="B17" s="202">
        <f>B16</f>
        <v>505</v>
      </c>
      <c r="D17" s="253" t="str">
        <f>CONCATENATE("№",B$16,"-6")</f>
        <v>№505-6</v>
      </c>
      <c r="F17" s="320" t="str">
        <f>CONCATENATE("№",B$16,"-12")</f>
        <v>№505-12</v>
      </c>
      <c r="H17" s="234" t="s">
        <v>487</v>
      </c>
      <c r="K17" s="38"/>
      <c r="O17" s="6"/>
      <c r="P17" s="6"/>
      <c r="Q17" s="6"/>
      <c r="R17" s="6"/>
      <c r="S17" s="6"/>
      <c r="T17" s="6"/>
      <c r="U17" s="6"/>
      <c r="V17" s="6"/>
    </row>
    <row r="18" spans="1:28" ht="20.25">
      <c r="A18" s="9"/>
      <c r="B18" s="256"/>
      <c r="C18" s="258"/>
      <c r="D18" s="255"/>
      <c r="F18" s="320" t="str">
        <f>CONCATENATE("№",B$16,"-14")</f>
        <v>№505-14</v>
      </c>
      <c r="H18" s="234" t="s">
        <v>488</v>
      </c>
      <c r="K18" s="38"/>
      <c r="O18" s="6"/>
      <c r="P18" s="62"/>
      <c r="Q18" s="62"/>
      <c r="R18" s="62"/>
      <c r="S18" s="62"/>
      <c r="T18" s="62"/>
      <c r="U18" s="62"/>
      <c r="V18" s="62"/>
    </row>
    <row r="19" spans="1:28" ht="20.25">
      <c r="A19" s="9" t="s">
        <v>489</v>
      </c>
      <c r="B19" s="197"/>
      <c r="C19" s="257"/>
      <c r="D19" s="34"/>
      <c r="E19" s="6"/>
      <c r="F19" s="320" t="str">
        <f>CONCATENATE("№",B$16,"-15")</f>
        <v>№505-15</v>
      </c>
      <c r="H19" s="234" t="s">
        <v>490</v>
      </c>
      <c r="K19" s="38"/>
      <c r="O19" s="6"/>
    </row>
    <row r="20" spans="1:28" ht="15.75" customHeight="1">
      <c r="A20" s="10" t="s">
        <v>491</v>
      </c>
      <c r="B20" s="235" t="s">
        <v>492</v>
      </c>
      <c r="C20" s="254"/>
      <c r="D20" s="254"/>
      <c r="E20" s="2"/>
      <c r="F20" s="11"/>
      <c r="H20" s="234" t="s">
        <v>493</v>
      </c>
      <c r="K20" s="38"/>
      <c r="O20" s="6"/>
      <c r="P20" s="6"/>
      <c r="Q20" s="6"/>
      <c r="R20" s="6"/>
      <c r="S20" s="6"/>
      <c r="T20" s="6"/>
      <c r="U20" s="6"/>
      <c r="V20" s="6"/>
    </row>
    <row r="21" spans="1:28" ht="26.25" customHeight="1">
      <c r="A21" s="10" t="s">
        <v>494</v>
      </c>
      <c r="B21" s="235"/>
      <c r="C21" s="233"/>
      <c r="D21" s="233"/>
      <c r="H21" s="234" t="s">
        <v>495</v>
      </c>
      <c r="K21" s="38"/>
      <c r="O21" s="6"/>
      <c r="P21" s="6"/>
      <c r="Q21" s="6"/>
      <c r="R21" s="6"/>
      <c r="S21" s="6"/>
      <c r="T21" s="6"/>
      <c r="U21" s="6"/>
      <c r="V21" s="6"/>
    </row>
    <row r="22" spans="1:28" ht="20.25">
      <c r="A22" s="6" t="s">
        <v>496</v>
      </c>
      <c r="B22" s="241" t="str">
        <f>B30</f>
        <v>23 января 2020г.</v>
      </c>
      <c r="C22" s="240" t="s">
        <v>497</v>
      </c>
      <c r="D22" s="241" t="str">
        <f>B34</f>
        <v>29 января 2020г.</v>
      </c>
      <c r="E22" s="4"/>
      <c r="F22" s="11"/>
      <c r="H22" s="234" t="s">
        <v>498</v>
      </c>
      <c r="K22" s="38"/>
      <c r="O22" s="6"/>
      <c r="P22" s="6"/>
      <c r="Q22" s="6"/>
      <c r="R22" s="6"/>
      <c r="S22" s="6"/>
      <c r="T22" s="6"/>
      <c r="U22" s="6"/>
      <c r="V22" s="6"/>
    </row>
    <row r="23" spans="1:28" ht="24.75" customHeight="1">
      <c r="A23" s="6" t="s">
        <v>499</v>
      </c>
      <c r="B23" s="465" t="s">
        <v>500</v>
      </c>
      <c r="C23" s="466"/>
      <c r="D23" s="466"/>
      <c r="H23" s="234" t="s">
        <v>501</v>
      </c>
      <c r="K23" s="141"/>
    </row>
    <row r="24" spans="1:28" s="7" customFormat="1" ht="17.25" customHeight="1" outlineLevel="1">
      <c r="A24" s="30" t="s">
        <v>502</v>
      </c>
      <c r="D24" s="208"/>
      <c r="E24"/>
      <c r="F24"/>
      <c r="G24"/>
      <c r="K24" s="145"/>
    </row>
    <row r="25" spans="1:28" s="7" customFormat="1" ht="17.25" customHeight="1" outlineLevel="1">
      <c r="A25" s="30" t="s">
        <v>503</v>
      </c>
      <c r="D25" s="208"/>
      <c r="E25"/>
      <c r="F25"/>
      <c r="G25"/>
      <c r="H25" s="6" t="s">
        <v>504</v>
      </c>
      <c r="K25" s="38"/>
    </row>
    <row r="26" spans="1:28" s="7" customFormat="1" ht="19.5" customHeight="1" outlineLevel="1">
      <c r="A26" s="30" t="s">
        <v>505</v>
      </c>
      <c r="D26" s="208"/>
      <c r="E26"/>
      <c r="F26"/>
      <c r="G26"/>
      <c r="H26" s="6" t="s">
        <v>506</v>
      </c>
      <c r="K26" s="151"/>
      <c r="O26" s="6"/>
      <c r="P26"/>
      <c r="Q26"/>
      <c r="R26"/>
      <c r="T26" s="6"/>
      <c r="U26"/>
      <c r="V26"/>
      <c r="W26"/>
    </row>
    <row r="27" spans="1:28" s="7" customFormat="1" ht="17.25" customHeight="1" outlineLevel="1">
      <c r="A27" s="30" t="s">
        <v>507</v>
      </c>
      <c r="D27" s="208"/>
      <c r="E27"/>
      <c r="F27"/>
      <c r="G27"/>
      <c r="H27" s="115" t="s">
        <v>508</v>
      </c>
      <c r="K27" s="151"/>
      <c r="O27" s="6"/>
      <c r="P27"/>
      <c r="Q27"/>
      <c r="R27"/>
    </row>
    <row r="28" spans="1:28" s="7" customFormat="1" ht="18.75" customHeight="1" outlineLevel="1">
      <c r="A28" s="30" t="s">
        <v>500</v>
      </c>
      <c r="H28" s="115" t="s">
        <v>509</v>
      </c>
      <c r="K28" s="151"/>
      <c r="O28" s="6"/>
      <c r="P28"/>
      <c r="Q28"/>
      <c r="R28"/>
    </row>
    <row r="29" spans="1:28" ht="17.25" customHeight="1">
      <c r="A29" s="9" t="s">
        <v>510</v>
      </c>
      <c r="D29" s="55"/>
      <c r="E29" s="55"/>
      <c r="F29" s="55"/>
      <c r="G29" s="55"/>
      <c r="H29" s="467" t="s">
        <v>511</v>
      </c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</row>
    <row r="30" spans="1:28" ht="15.75">
      <c r="A30" s="6" t="s">
        <v>512</v>
      </c>
      <c r="B30" s="32" t="s">
        <v>513</v>
      </c>
      <c r="C30" s="4"/>
      <c r="D30" s="59"/>
      <c r="E30" s="236"/>
      <c r="F30" s="55"/>
      <c r="G30" s="55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55"/>
      <c r="AB30" s="55"/>
    </row>
    <row r="31" spans="1:28" ht="15.75">
      <c r="A31" s="6" t="s">
        <v>514</v>
      </c>
      <c r="B31" s="4" t="str">
        <f>B34</f>
        <v>29 января 2020г.</v>
      </c>
      <c r="C31" s="4"/>
      <c r="D31" s="59"/>
      <c r="E31" s="236"/>
      <c r="F31" s="55"/>
      <c r="G31" s="55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55"/>
      <c r="AB31" s="55"/>
    </row>
    <row r="32" spans="1:28" ht="34.5" customHeight="1">
      <c r="A32" s="4" t="s">
        <v>515</v>
      </c>
      <c r="B32" s="4" t="str">
        <f>B34</f>
        <v>29 января 2020г.</v>
      </c>
      <c r="C32" s="4"/>
      <c r="D32" s="59"/>
      <c r="E32" s="236"/>
      <c r="F32" s="55"/>
      <c r="G32" s="55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55"/>
      <c r="AB32" s="55"/>
    </row>
    <row r="33" spans="1:32" ht="18.75" customHeight="1">
      <c r="D33" s="55"/>
      <c r="E33" s="236"/>
      <c r="F33" s="55"/>
      <c r="G33" s="55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55"/>
      <c r="AB33" s="55"/>
    </row>
    <row r="34" spans="1:32" ht="16.5" customHeight="1">
      <c r="A34" s="9" t="s">
        <v>516</v>
      </c>
      <c r="B34" s="434" t="s">
        <v>517</v>
      </c>
      <c r="D34" s="55"/>
      <c r="E34" s="55"/>
      <c r="F34" s="55"/>
      <c r="G34" s="55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55"/>
      <c r="AB34" s="55"/>
    </row>
    <row r="35" spans="1:32" ht="15.75">
      <c r="A35" s="9" t="s">
        <v>518</v>
      </c>
      <c r="B35" s="7"/>
      <c r="C35" s="7"/>
      <c r="D35" s="76"/>
      <c r="E35" s="76"/>
      <c r="F35" s="76"/>
      <c r="G35" s="76"/>
      <c r="H35" s="467" t="s">
        <v>519</v>
      </c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76"/>
      <c r="AB35" s="76"/>
      <c r="AC35" s="7"/>
      <c r="AD35" s="7"/>
    </row>
    <row r="36" spans="1:32" ht="15.75">
      <c r="A36" s="6" t="s">
        <v>520</v>
      </c>
      <c r="B36" s="139">
        <v>21</v>
      </c>
      <c r="C36" s="7" t="s">
        <v>521</v>
      </c>
      <c r="D36" s="76"/>
      <c r="E36" s="76"/>
      <c r="F36" s="76"/>
      <c r="G36" s="76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76"/>
      <c r="AB36" s="76"/>
      <c r="AC36" s="7"/>
      <c r="AD36" s="7"/>
    </row>
    <row r="37" spans="1:32" ht="15.75">
      <c r="A37" s="6" t="s">
        <v>522</v>
      </c>
      <c r="B37" s="139">
        <v>58</v>
      </c>
      <c r="C37" s="12" t="s">
        <v>523</v>
      </c>
      <c r="D37" s="76"/>
      <c r="E37" s="76"/>
      <c r="F37" s="76"/>
      <c r="G37" s="76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76"/>
      <c r="AB37" s="76"/>
      <c r="AC37" s="7"/>
      <c r="AD37" s="7"/>
    </row>
    <row r="38" spans="1:32" ht="15.75">
      <c r="A38" s="6" t="s">
        <v>524</v>
      </c>
      <c r="B38" s="139">
        <v>741</v>
      </c>
      <c r="C38" s="7" t="s">
        <v>525</v>
      </c>
      <c r="D38" s="7"/>
      <c r="E38" s="7"/>
      <c r="F38" s="7"/>
      <c r="G38" s="7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7"/>
      <c r="AB38" s="7"/>
      <c r="AC38" s="7"/>
      <c r="AD38" s="7"/>
    </row>
    <row r="39" spans="1:32" ht="15.75">
      <c r="A39" s="9"/>
      <c r="B39" s="8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</row>
    <row r="40" spans="1:32" ht="15.75">
      <c r="A40" s="6" t="s">
        <v>526</v>
      </c>
      <c r="B40" s="2" t="s">
        <v>527</v>
      </c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</row>
    <row r="41" spans="1:32" ht="15.75" customHeight="1">
      <c r="A41" s="6" t="s">
        <v>528</v>
      </c>
      <c r="B41" t="s">
        <v>529</v>
      </c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</row>
    <row r="42" spans="1:32" ht="87" customHeight="1">
      <c r="A42" s="6" t="s">
        <v>530</v>
      </c>
      <c r="B42" t="s">
        <v>531</v>
      </c>
      <c r="H42" s="471" t="s">
        <v>532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</row>
    <row r="43" spans="1:32" ht="15.75">
      <c r="A43" s="6" t="s">
        <v>533</v>
      </c>
      <c r="B43" s="4" t="s">
        <v>534</v>
      </c>
      <c r="H43" t="s">
        <v>535</v>
      </c>
      <c r="K43" s="141"/>
      <c r="L43" s="207"/>
      <c r="M43" s="207"/>
      <c r="N43" s="207"/>
      <c r="O43" s="207"/>
      <c r="P43" s="207"/>
      <c r="Q43" s="207"/>
      <c r="R43" s="207"/>
    </row>
    <row r="44" spans="1:32">
      <c r="K44" s="141"/>
      <c r="L44" s="207"/>
      <c r="M44" s="207"/>
      <c r="N44" s="207"/>
      <c r="O44" s="207"/>
      <c r="P44" s="207"/>
      <c r="Q44" s="207"/>
      <c r="R44" s="207"/>
    </row>
    <row r="45" spans="1:32" ht="15.75">
      <c r="A45" s="6" t="s">
        <v>536</v>
      </c>
      <c r="B45" s="11"/>
      <c r="K45" s="188"/>
      <c r="O45" s="209"/>
    </row>
    <row r="46" spans="1:32" ht="15.75" customHeight="1">
      <c r="A46" s="6" t="s">
        <v>528</v>
      </c>
      <c r="B46" s="210"/>
      <c r="H46" t="s">
        <v>537</v>
      </c>
      <c r="K46" s="188"/>
      <c r="L46" s="207"/>
      <c r="M46" s="207"/>
      <c r="N46" s="207"/>
      <c r="O46" s="207"/>
      <c r="P46" s="207"/>
      <c r="Q46" s="207"/>
      <c r="R46" s="207"/>
    </row>
    <row r="47" spans="1:32" ht="15.75">
      <c r="A47" s="6" t="s">
        <v>530</v>
      </c>
      <c r="B47" s="210"/>
      <c r="K47" s="188"/>
      <c r="L47" s="207"/>
      <c r="M47" s="207"/>
      <c r="N47" s="207"/>
      <c r="O47" s="207"/>
      <c r="P47" s="207"/>
      <c r="Q47" s="207"/>
      <c r="R47" s="207"/>
    </row>
    <row r="48" spans="1:32" ht="15.75">
      <c r="A48" s="6" t="s">
        <v>538</v>
      </c>
      <c r="B48" s="8"/>
      <c r="K48" s="188"/>
      <c r="L48" s="207"/>
      <c r="M48" s="207"/>
      <c r="N48" s="207"/>
      <c r="O48" s="207"/>
      <c r="P48" s="207"/>
      <c r="Q48" s="207"/>
      <c r="R48" s="207"/>
    </row>
    <row r="49" spans="1:17" ht="15.75">
      <c r="A49" s="9"/>
      <c r="B49" s="8"/>
      <c r="G49">
        <v>1</v>
      </c>
    </row>
    <row r="50" spans="1:17" ht="15.75">
      <c r="A50" s="9"/>
      <c r="B50" s="8"/>
    </row>
    <row r="51" spans="1:17" ht="15.75">
      <c r="A51" s="9"/>
      <c r="B51" s="8"/>
    </row>
    <row r="53" spans="1:17" ht="15.75">
      <c r="A53" s="472" t="s">
        <v>539</v>
      </c>
      <c r="B53" s="472"/>
      <c r="C53" s="472"/>
      <c r="D53" s="472"/>
      <c r="E53" s="13"/>
    </row>
    <row r="54" spans="1:17" ht="22.5" customHeight="1">
      <c r="A54" s="460" t="s">
        <v>540</v>
      </c>
      <c r="B54" s="460" t="s">
        <v>541</v>
      </c>
      <c r="C54" s="453" t="s">
        <v>542</v>
      </c>
      <c r="D54" s="454"/>
      <c r="E54" s="460" t="s">
        <v>543</v>
      </c>
      <c r="F54" s="457" t="s">
        <v>544</v>
      </c>
      <c r="G54" s="459"/>
      <c r="H54" s="459"/>
      <c r="I54" s="458"/>
      <c r="J54" s="457" t="s">
        <v>545</v>
      </c>
      <c r="K54" s="459"/>
      <c r="L54" s="459"/>
      <c r="M54" s="458"/>
      <c r="N54" s="453" t="s">
        <v>546</v>
      </c>
      <c r="O54" s="454"/>
      <c r="P54" s="453" t="s">
        <v>547</v>
      </c>
      <c r="Q54" s="454"/>
    </row>
    <row r="55" spans="1:17" ht="59.25" customHeight="1">
      <c r="A55" s="461"/>
      <c r="B55" s="461"/>
      <c r="C55" s="455"/>
      <c r="D55" s="456"/>
      <c r="E55" s="461"/>
      <c r="F55" s="457" t="s">
        <v>548</v>
      </c>
      <c r="G55" s="458"/>
      <c r="H55" s="457" t="s">
        <v>549</v>
      </c>
      <c r="I55" s="458"/>
      <c r="J55" s="457" t="s">
        <v>550</v>
      </c>
      <c r="K55" s="458"/>
      <c r="L55" s="457" t="s">
        <v>551</v>
      </c>
      <c r="M55" s="458"/>
      <c r="N55" s="455"/>
      <c r="O55" s="456"/>
      <c r="P55" s="455"/>
      <c r="Q55" s="456"/>
    </row>
    <row r="56" spans="1:17" ht="30" customHeight="1">
      <c r="A56" s="460">
        <v>1</v>
      </c>
      <c r="B56" s="460" t="s">
        <v>552</v>
      </c>
      <c r="C56" s="453">
        <v>723895</v>
      </c>
      <c r="D56" s="454"/>
      <c r="E56" s="263" t="s">
        <v>553</v>
      </c>
      <c r="F56" s="462" t="s">
        <v>554</v>
      </c>
      <c r="G56" s="463"/>
      <c r="H56" s="462" t="s">
        <v>555</v>
      </c>
      <c r="I56" s="463"/>
      <c r="J56" s="473">
        <v>43530</v>
      </c>
      <c r="K56" s="474"/>
      <c r="L56" s="473">
        <v>43895</v>
      </c>
      <c r="M56" s="474"/>
      <c r="N56" s="453" t="s">
        <v>556</v>
      </c>
      <c r="O56" s="454"/>
      <c r="P56" s="453" t="s">
        <v>557</v>
      </c>
      <c r="Q56" s="454"/>
    </row>
    <row r="57" spans="1:17" ht="30.75" customHeight="1">
      <c r="A57" s="483"/>
      <c r="B57" s="483"/>
      <c r="C57" s="479"/>
      <c r="D57" s="480"/>
      <c r="E57" s="263">
        <v>3</v>
      </c>
      <c r="F57" s="462" t="s">
        <v>558</v>
      </c>
      <c r="G57" s="463"/>
      <c r="H57" s="462" t="s">
        <v>559</v>
      </c>
      <c r="I57" s="463"/>
      <c r="J57" s="475"/>
      <c r="K57" s="476"/>
      <c r="L57" s="475"/>
      <c r="M57" s="476"/>
      <c r="N57" s="479"/>
      <c r="O57" s="480"/>
      <c r="P57" s="479"/>
      <c r="Q57" s="480"/>
    </row>
    <row r="58" spans="1:17" ht="30.75" customHeight="1">
      <c r="A58" s="483"/>
      <c r="B58" s="483"/>
      <c r="C58" s="479"/>
      <c r="D58" s="480"/>
      <c r="E58" s="263">
        <v>4</v>
      </c>
      <c r="F58" s="462" t="s">
        <v>560</v>
      </c>
      <c r="G58" s="463"/>
      <c r="H58" s="462" t="s">
        <v>561</v>
      </c>
      <c r="I58" s="463"/>
      <c r="J58" s="475"/>
      <c r="K58" s="476"/>
      <c r="L58" s="475"/>
      <c r="M58" s="476"/>
      <c r="N58" s="479"/>
      <c r="O58" s="480"/>
      <c r="P58" s="479"/>
      <c r="Q58" s="480"/>
    </row>
    <row r="59" spans="1:17" ht="30.75" customHeight="1">
      <c r="A59" s="483"/>
      <c r="B59" s="483"/>
      <c r="C59" s="479"/>
      <c r="D59" s="480"/>
      <c r="E59" s="263">
        <v>6</v>
      </c>
      <c r="F59" s="485" t="s">
        <v>562</v>
      </c>
      <c r="G59" s="486"/>
      <c r="H59" s="462" t="s">
        <v>563</v>
      </c>
      <c r="I59" s="463"/>
      <c r="J59" s="475"/>
      <c r="K59" s="476"/>
      <c r="L59" s="475"/>
      <c r="M59" s="476"/>
      <c r="N59" s="479"/>
      <c r="O59" s="480"/>
      <c r="P59" s="479"/>
      <c r="Q59" s="480"/>
    </row>
    <row r="60" spans="1:17" ht="30.75" customHeight="1">
      <c r="A60" s="484"/>
      <c r="B60" s="484"/>
      <c r="C60" s="481"/>
      <c r="D60" s="482"/>
      <c r="E60" s="263">
        <v>10</v>
      </c>
      <c r="F60" s="462" t="s">
        <v>564</v>
      </c>
      <c r="G60" s="464"/>
      <c r="H60" s="462" t="s">
        <v>565</v>
      </c>
      <c r="I60" s="464"/>
      <c r="J60" s="477"/>
      <c r="K60" s="478"/>
      <c r="L60" s="477"/>
      <c r="M60" s="478"/>
      <c r="N60" s="481"/>
      <c r="O60" s="482"/>
      <c r="P60" s="481"/>
      <c r="Q60" s="482"/>
    </row>
    <row r="61" spans="1:17" ht="42.75" customHeight="1">
      <c r="A61" s="56">
        <v>2</v>
      </c>
      <c r="B61" s="56" t="s">
        <v>566</v>
      </c>
      <c r="C61" s="457">
        <v>20084</v>
      </c>
      <c r="D61" s="458"/>
      <c r="E61" s="264" t="s">
        <v>567</v>
      </c>
      <c r="F61" s="462" t="s">
        <v>568</v>
      </c>
      <c r="G61" s="463"/>
      <c r="H61" s="462" t="s">
        <v>569</v>
      </c>
      <c r="I61" s="463"/>
      <c r="J61" s="487">
        <v>43517</v>
      </c>
      <c r="K61" s="488"/>
      <c r="L61" s="487" t="s">
        <v>570</v>
      </c>
      <c r="M61" s="488"/>
      <c r="N61" s="457" t="s">
        <v>571</v>
      </c>
      <c r="O61" s="458"/>
      <c r="P61" s="457" t="s">
        <v>572</v>
      </c>
      <c r="Q61" s="458"/>
    </row>
    <row r="62" spans="1:17" ht="45" customHeight="1">
      <c r="A62" s="56">
        <v>3</v>
      </c>
      <c r="B62" s="56" t="s">
        <v>573</v>
      </c>
      <c r="C62" s="457">
        <v>74</v>
      </c>
      <c r="D62" s="458"/>
      <c r="E62" s="264" t="s">
        <v>574</v>
      </c>
      <c r="F62" s="462" t="s">
        <v>575</v>
      </c>
      <c r="G62" s="489"/>
      <c r="H62" s="462" t="s">
        <v>576</v>
      </c>
      <c r="I62" s="463"/>
      <c r="J62" s="487">
        <v>43517</v>
      </c>
      <c r="K62" s="488"/>
      <c r="L62" s="487" t="s">
        <v>570</v>
      </c>
      <c r="M62" s="488"/>
      <c r="N62" s="457" t="s">
        <v>577</v>
      </c>
      <c r="O62" s="458"/>
      <c r="P62" s="457" t="s">
        <v>572</v>
      </c>
      <c r="Q62" s="458"/>
    </row>
    <row r="63" spans="1:17" ht="43.5" customHeight="1">
      <c r="A63" s="56">
        <v>4</v>
      </c>
      <c r="B63" s="56" t="s">
        <v>578</v>
      </c>
      <c r="C63" s="457">
        <v>1241</v>
      </c>
      <c r="D63" s="458"/>
      <c r="E63" s="263">
        <v>5</v>
      </c>
      <c r="F63" s="462" t="s">
        <v>579</v>
      </c>
      <c r="G63" s="463"/>
      <c r="H63" s="490" t="s">
        <v>580</v>
      </c>
      <c r="I63" s="491"/>
      <c r="J63" s="487">
        <v>43186</v>
      </c>
      <c r="K63" s="488"/>
      <c r="L63" s="487">
        <v>43917</v>
      </c>
      <c r="M63" s="488"/>
      <c r="N63" s="457" t="s">
        <v>581</v>
      </c>
      <c r="O63" s="458"/>
      <c r="P63" s="457" t="s">
        <v>572</v>
      </c>
      <c r="Q63" s="458"/>
    </row>
    <row r="64" spans="1:17" ht="36.75" customHeight="1">
      <c r="A64" s="56">
        <v>5</v>
      </c>
      <c r="B64" s="56" t="s">
        <v>582</v>
      </c>
      <c r="C64" s="457">
        <v>248181</v>
      </c>
      <c r="D64" s="458"/>
      <c r="E64" s="265">
        <v>3</v>
      </c>
      <c r="F64" s="457" t="s">
        <v>583</v>
      </c>
      <c r="G64" s="458"/>
      <c r="H64" s="457" t="s">
        <v>584</v>
      </c>
      <c r="I64" s="458"/>
      <c r="J64" s="487">
        <v>43553</v>
      </c>
      <c r="K64" s="488"/>
      <c r="L64" s="487">
        <v>43919</v>
      </c>
      <c r="M64" s="488"/>
      <c r="N64" s="457" t="s">
        <v>585</v>
      </c>
      <c r="O64" s="458"/>
      <c r="P64" s="457" t="s">
        <v>572</v>
      </c>
      <c r="Q64" s="458"/>
    </row>
    <row r="65" spans="1:17" ht="49.5" customHeight="1">
      <c r="A65" s="56">
        <v>6</v>
      </c>
      <c r="B65" s="56" t="s">
        <v>586</v>
      </c>
      <c r="C65" s="492" t="s">
        <v>587</v>
      </c>
      <c r="D65" s="493"/>
      <c r="E65" s="265">
        <v>9</v>
      </c>
      <c r="F65" s="457" t="s">
        <v>588</v>
      </c>
      <c r="G65" s="458"/>
      <c r="H65" s="457" t="s">
        <v>589</v>
      </c>
      <c r="I65" s="458"/>
      <c r="J65" s="487">
        <v>43517</v>
      </c>
      <c r="K65" s="488"/>
      <c r="L65" s="487" t="s">
        <v>570</v>
      </c>
      <c r="M65" s="488"/>
      <c r="N65" s="457" t="s">
        <v>590</v>
      </c>
      <c r="O65" s="458"/>
      <c r="P65" s="457" t="s">
        <v>572</v>
      </c>
      <c r="Q65" s="458"/>
    </row>
    <row r="66" spans="1:17" ht="64.5" customHeight="1">
      <c r="A66" s="56">
        <v>7</v>
      </c>
      <c r="B66" s="56" t="s">
        <v>591</v>
      </c>
      <c r="C66" s="457">
        <v>81667</v>
      </c>
      <c r="D66" s="458"/>
      <c r="E66" s="265">
        <v>10</v>
      </c>
      <c r="F66" s="457" t="s">
        <v>592</v>
      </c>
      <c r="G66" s="458"/>
      <c r="H66" s="457" t="s">
        <v>589</v>
      </c>
      <c r="I66" s="458"/>
      <c r="J66" s="487">
        <v>43517</v>
      </c>
      <c r="K66" s="488"/>
      <c r="L66" s="487" t="s">
        <v>570</v>
      </c>
      <c r="M66" s="488"/>
      <c r="N66" s="457" t="s">
        <v>593</v>
      </c>
      <c r="O66" s="458"/>
      <c r="P66" s="457" t="s">
        <v>572</v>
      </c>
      <c r="Q66" s="458"/>
    </row>
    <row r="67" spans="1:17" ht="49.5" customHeight="1">
      <c r="A67" s="56">
        <v>8</v>
      </c>
      <c r="B67" s="56" t="s">
        <v>594</v>
      </c>
      <c r="C67" s="457">
        <v>5306269</v>
      </c>
      <c r="D67" s="458"/>
      <c r="E67" s="265">
        <v>10</v>
      </c>
      <c r="F67" s="457" t="s">
        <v>595</v>
      </c>
      <c r="G67" s="458"/>
      <c r="H67" s="457">
        <v>1.5</v>
      </c>
      <c r="I67" s="458"/>
      <c r="J67" s="487">
        <v>43553</v>
      </c>
      <c r="K67" s="488"/>
      <c r="L67" s="487">
        <v>43919</v>
      </c>
      <c r="M67" s="488"/>
      <c r="N67" s="457" t="s">
        <v>596</v>
      </c>
      <c r="O67" s="458"/>
      <c r="P67" s="457" t="s">
        <v>572</v>
      </c>
      <c r="Q67" s="458"/>
    </row>
    <row r="68" spans="1:17" ht="49.5" customHeight="1">
      <c r="A68" s="56">
        <v>9</v>
      </c>
      <c r="B68" s="56" t="s">
        <v>597</v>
      </c>
      <c r="C68" s="457">
        <v>2185</v>
      </c>
      <c r="D68" s="458"/>
      <c r="E68" s="265">
        <v>10</v>
      </c>
      <c r="F68" s="457" t="s">
        <v>598</v>
      </c>
      <c r="G68" s="458"/>
      <c r="H68" s="457" t="s">
        <v>589</v>
      </c>
      <c r="I68" s="458"/>
      <c r="J68" s="487" t="s">
        <v>599</v>
      </c>
      <c r="K68" s="488"/>
      <c r="L68" s="487" t="s">
        <v>589</v>
      </c>
      <c r="M68" s="488"/>
      <c r="N68" s="487" t="s">
        <v>589</v>
      </c>
      <c r="O68" s="488"/>
      <c r="P68" s="487" t="s">
        <v>589</v>
      </c>
      <c r="Q68" s="488"/>
    </row>
    <row r="69" spans="1:17" ht="49.5" customHeight="1">
      <c r="A69" s="56">
        <v>10</v>
      </c>
      <c r="B69" s="56" t="s">
        <v>600</v>
      </c>
      <c r="C69" s="457" t="s">
        <v>601</v>
      </c>
      <c r="D69" s="458"/>
      <c r="E69" s="265">
        <v>7.8</v>
      </c>
      <c r="F69" s="462" t="s">
        <v>554</v>
      </c>
      <c r="G69" s="463"/>
      <c r="H69" s="462" t="s">
        <v>555</v>
      </c>
      <c r="I69" s="463"/>
      <c r="J69" s="487">
        <v>43517</v>
      </c>
      <c r="K69" s="488"/>
      <c r="L69" s="487" t="s">
        <v>570</v>
      </c>
      <c r="M69" s="488"/>
      <c r="N69" s="457" t="s">
        <v>602</v>
      </c>
      <c r="O69" s="458"/>
      <c r="P69" s="457" t="s">
        <v>572</v>
      </c>
      <c r="Q69" s="458"/>
    </row>
    <row r="70" spans="1:17" ht="49.5" customHeight="1">
      <c r="A70" s="56">
        <v>11</v>
      </c>
      <c r="B70" s="56" t="s">
        <v>603</v>
      </c>
      <c r="C70" s="457" t="s">
        <v>604</v>
      </c>
      <c r="D70" s="458"/>
      <c r="E70" s="265">
        <v>15</v>
      </c>
      <c r="F70" s="462" t="s">
        <v>605</v>
      </c>
      <c r="G70" s="463"/>
      <c r="H70" s="462" t="s">
        <v>606</v>
      </c>
      <c r="I70" s="463"/>
      <c r="J70" s="487">
        <v>43551</v>
      </c>
      <c r="K70" s="488"/>
      <c r="L70" s="487">
        <v>43917</v>
      </c>
      <c r="M70" s="488"/>
      <c r="N70" s="457" t="s">
        <v>607</v>
      </c>
      <c r="O70" s="458"/>
      <c r="P70" s="457" t="s">
        <v>572</v>
      </c>
      <c r="Q70" s="458"/>
    </row>
    <row r="71" spans="1:17" ht="49.5" customHeight="1">
      <c r="A71" s="56">
        <v>12</v>
      </c>
      <c r="B71" s="56" t="s">
        <v>608</v>
      </c>
      <c r="C71" s="457" t="s">
        <v>609</v>
      </c>
      <c r="D71" s="458"/>
      <c r="E71" s="265">
        <v>7.8</v>
      </c>
      <c r="F71" s="462" t="s">
        <v>554</v>
      </c>
      <c r="G71" s="463"/>
      <c r="H71" s="462" t="s">
        <v>555</v>
      </c>
      <c r="I71" s="463"/>
      <c r="J71" s="487">
        <v>43605</v>
      </c>
      <c r="K71" s="488"/>
      <c r="L71" s="487" t="s">
        <v>610</v>
      </c>
      <c r="M71" s="488"/>
      <c r="N71" s="457"/>
      <c r="O71" s="458"/>
      <c r="P71" s="457" t="s">
        <v>611</v>
      </c>
      <c r="Q71" s="458"/>
    </row>
    <row r="74" spans="1:17" ht="25.5"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</row>
    <row r="82" spans="5:5">
      <c r="E82" s="25"/>
    </row>
  </sheetData>
  <mergeCells count="133">
    <mergeCell ref="L71:M71"/>
    <mergeCell ref="N71:O71"/>
    <mergeCell ref="P71:Q71"/>
    <mergeCell ref="D74:Q74"/>
    <mergeCell ref="C71:D71"/>
    <mergeCell ref="F71:G71"/>
    <mergeCell ref="H71:I71"/>
    <mergeCell ref="J71:K71"/>
    <mergeCell ref="P69:Q69"/>
    <mergeCell ref="C70:D70"/>
    <mergeCell ref="F70:G70"/>
    <mergeCell ref="H70:I70"/>
    <mergeCell ref="J70:K70"/>
    <mergeCell ref="L70:M70"/>
    <mergeCell ref="N70:O70"/>
    <mergeCell ref="P70:Q70"/>
    <mergeCell ref="C69:D69"/>
    <mergeCell ref="F69:G69"/>
    <mergeCell ref="C67:D67"/>
    <mergeCell ref="F67:G67"/>
    <mergeCell ref="H67:I67"/>
    <mergeCell ref="J67:K67"/>
    <mergeCell ref="L69:M69"/>
    <mergeCell ref="N69:O69"/>
    <mergeCell ref="H69:I69"/>
    <mergeCell ref="J69:K69"/>
    <mergeCell ref="L67:M67"/>
    <mergeCell ref="N67:O67"/>
    <mergeCell ref="P67:Q67"/>
    <mergeCell ref="C68:D68"/>
    <mergeCell ref="F68:G68"/>
    <mergeCell ref="H68:I68"/>
    <mergeCell ref="J68:K68"/>
    <mergeCell ref="L68:M68"/>
    <mergeCell ref="N68:O68"/>
    <mergeCell ref="P68:Q68"/>
    <mergeCell ref="P65:Q65"/>
    <mergeCell ref="C66:D66"/>
    <mergeCell ref="F66:G66"/>
    <mergeCell ref="H66:I66"/>
    <mergeCell ref="J66:K66"/>
    <mergeCell ref="L66:M66"/>
    <mergeCell ref="N66:O66"/>
    <mergeCell ref="P66:Q66"/>
    <mergeCell ref="C65:D65"/>
    <mergeCell ref="F65:G65"/>
    <mergeCell ref="C63:D63"/>
    <mergeCell ref="F63:G63"/>
    <mergeCell ref="H63:I63"/>
    <mergeCell ref="J63:K63"/>
    <mergeCell ref="L65:M65"/>
    <mergeCell ref="N65:O65"/>
    <mergeCell ref="H65:I65"/>
    <mergeCell ref="J65:K65"/>
    <mergeCell ref="L63:M63"/>
    <mergeCell ref="N63:O63"/>
    <mergeCell ref="P63:Q63"/>
    <mergeCell ref="C64:D64"/>
    <mergeCell ref="F64:G64"/>
    <mergeCell ref="H64:I64"/>
    <mergeCell ref="J64:K64"/>
    <mergeCell ref="L64:M64"/>
    <mergeCell ref="N64:O64"/>
    <mergeCell ref="P64:Q64"/>
    <mergeCell ref="N62:O62"/>
    <mergeCell ref="P62:Q62"/>
    <mergeCell ref="C61:D61"/>
    <mergeCell ref="F61:G61"/>
    <mergeCell ref="H61:I61"/>
    <mergeCell ref="J61:K61"/>
    <mergeCell ref="H58:I58"/>
    <mergeCell ref="F59:G59"/>
    <mergeCell ref="L61:M61"/>
    <mergeCell ref="N61:O61"/>
    <mergeCell ref="P61:Q61"/>
    <mergeCell ref="C62:D62"/>
    <mergeCell ref="F62:G62"/>
    <mergeCell ref="H62:I62"/>
    <mergeCell ref="J62:K62"/>
    <mergeCell ref="L62:M62"/>
    <mergeCell ref="A53:D53"/>
    <mergeCell ref="J56:K60"/>
    <mergeCell ref="L56:M60"/>
    <mergeCell ref="N56:O60"/>
    <mergeCell ref="P56:Q60"/>
    <mergeCell ref="F56:G56"/>
    <mergeCell ref="H56:I56"/>
    <mergeCell ref="A56:A60"/>
    <mergeCell ref="B56:B60"/>
    <mergeCell ref="C56:D60"/>
    <mergeCell ref="B9:G9"/>
    <mergeCell ref="B10:G10"/>
    <mergeCell ref="B23:D23"/>
    <mergeCell ref="H29:Z34"/>
    <mergeCell ref="H35:Z41"/>
    <mergeCell ref="H42:AF42"/>
    <mergeCell ref="A54:A55"/>
    <mergeCell ref="B54:B55"/>
    <mergeCell ref="C54:D55"/>
    <mergeCell ref="E54:E55"/>
    <mergeCell ref="H59:I59"/>
    <mergeCell ref="F60:G60"/>
    <mergeCell ref="H60:I60"/>
    <mergeCell ref="F57:G57"/>
    <mergeCell ref="H57:I57"/>
    <mergeCell ref="F58:G58"/>
    <mergeCell ref="N54:O55"/>
    <mergeCell ref="P54:Q55"/>
    <mergeCell ref="F55:G55"/>
    <mergeCell ref="H55:I55"/>
    <mergeCell ref="J55:K55"/>
    <mergeCell ref="L55:M55"/>
    <mergeCell ref="F54:I54"/>
    <mergeCell ref="J54:M54"/>
    <mergeCell ref="B7:C7"/>
    <mergeCell ref="O7:T7"/>
    <mergeCell ref="O8:T8"/>
    <mergeCell ref="V8:W8"/>
    <mergeCell ref="O5:T5"/>
    <mergeCell ref="V5:W5"/>
    <mergeCell ref="B6:C6"/>
    <mergeCell ref="O6:T6"/>
    <mergeCell ref="V6:W6"/>
    <mergeCell ref="O3:T3"/>
    <mergeCell ref="V3:W3"/>
    <mergeCell ref="O4:T4"/>
    <mergeCell ref="V4:W4"/>
    <mergeCell ref="R1:S1"/>
    <mergeCell ref="T1:U1"/>
    <mergeCell ref="V1:W1"/>
    <mergeCell ref="R2:S2"/>
    <mergeCell ref="T2:U2"/>
    <mergeCell ref="V2:W2"/>
  </mergeCells>
  <phoneticPr fontId="0" type="noConversion"/>
  <dataValidations count="1">
    <dataValidation type="list" allowBlank="1" showInputMessage="1" showErrorMessage="1" sqref="B23">
      <formula1>$A$24:$A$28</formula1>
    </dataValidation>
  </dataValidations>
  <pageMargins left="0.7" right="0.7" top="0.75" bottom="0.75" header="0.3" footer="0.3"/>
  <pageSetup paperSize="9" fitToWidth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01"/>
  <sheetViews>
    <sheetView topLeftCell="A13" workbookViewId="0">
      <selection activeCell="P29" sqref="P29:S29"/>
    </sheetView>
  </sheetViews>
  <sheetFormatPr defaultRowHeight="15.75" outlineLevelCol="1"/>
  <cols>
    <col min="1" max="1" width="6" customWidth="1"/>
    <col min="2" max="2" width="12.5703125" customWidth="1"/>
    <col min="3" max="3" width="7.5703125" customWidth="1"/>
    <col min="4" max="4" width="7.42578125" customWidth="1"/>
    <col min="5" max="5" width="5.42578125" customWidth="1"/>
    <col min="6" max="6" width="2.42578125" customWidth="1"/>
    <col min="7" max="7" width="2" customWidth="1"/>
    <col min="8" max="8" width="3.85546875" customWidth="1"/>
    <col min="9" max="9" width="4.85546875" customWidth="1"/>
    <col min="10" max="10" width="2.85546875" customWidth="1"/>
    <col min="11" max="11" width="2" customWidth="1"/>
    <col min="12" max="12" width="2.7109375" customWidth="1"/>
    <col min="13" max="13" width="2.42578125" customWidth="1"/>
    <col min="14" max="14" width="2.85546875" customWidth="1"/>
    <col min="15" max="15" width="2.28515625" customWidth="1"/>
    <col min="16" max="16" width="3.28515625" customWidth="1"/>
    <col min="17" max="17" width="4.140625" customWidth="1"/>
    <col min="18" max="18" width="3.28515625" customWidth="1"/>
    <col min="19" max="19" width="3.7109375" customWidth="1"/>
    <col min="20" max="20" width="2.5703125" customWidth="1"/>
    <col min="21" max="21" width="4.42578125" customWidth="1"/>
    <col min="22" max="22" width="3.28515625" customWidth="1"/>
    <col min="23" max="23" width="4.140625" customWidth="1"/>
    <col min="24" max="24" width="3.28515625" customWidth="1"/>
    <col min="25" max="25" width="4.7109375" customWidth="1"/>
    <col min="26" max="26" width="2.5703125" customWidth="1"/>
    <col min="27" max="27" width="4.5703125" customWidth="1"/>
    <col min="28" max="30" width="3.2851562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5" width="3.42578125" customWidth="1"/>
    <col min="36" max="36" width="9.28515625" customWidth="1" outlineLevel="1"/>
    <col min="37" max="37" width="8.140625" customWidth="1" outlineLevel="1"/>
    <col min="38" max="39" width="3.28515625" customWidth="1"/>
    <col min="40" max="40" width="9.140625" style="6"/>
  </cols>
  <sheetData>
    <row r="1" spans="1:40" s="6" customFormat="1" ht="21" customHeight="1">
      <c r="A1" s="70"/>
      <c r="B1" s="9" t="str">
        <f ca="1">'Исходник '!B3</f>
        <v>ООО «ТМ-Электро»</v>
      </c>
      <c r="C1" s="9"/>
      <c r="D1" s="9"/>
      <c r="E1"/>
      <c r="F1"/>
      <c r="G1"/>
      <c r="H1"/>
      <c r="I1"/>
      <c r="J1"/>
      <c r="K1"/>
      <c r="L1"/>
      <c r="M1"/>
      <c r="N1"/>
      <c r="O1"/>
      <c r="P1"/>
      <c r="Q1" s="9" t="s">
        <v>489</v>
      </c>
      <c r="R1" s="9"/>
      <c r="S1" s="9"/>
      <c r="T1"/>
      <c r="U1" s="656">
        <f ca="1">'Исходник '!B19</f>
        <v>0</v>
      </c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/>
      <c r="AK1"/>
      <c r="AL1"/>
      <c r="AM1"/>
    </row>
    <row r="2" spans="1:40" s="59" customFormat="1" ht="18" customHeight="1">
      <c r="A2" s="64"/>
      <c r="B2" s="278" t="s">
        <v>915</v>
      </c>
      <c r="C2" s="67"/>
      <c r="D2" s="67"/>
      <c r="E2" s="68"/>
      <c r="F2" s="68"/>
      <c r="G2" s="55"/>
      <c r="H2" s="55"/>
      <c r="I2" s="55"/>
      <c r="J2" s="55"/>
      <c r="K2" s="55"/>
      <c r="L2" s="55"/>
      <c r="M2" s="55"/>
      <c r="N2" s="55"/>
      <c r="O2" s="55"/>
      <c r="P2" s="55"/>
      <c r="Q2" s="9" t="s">
        <v>491</v>
      </c>
      <c r="R2" s="10"/>
      <c r="S2" s="10"/>
      <c r="T2"/>
      <c r="U2" s="6" t="str">
        <f ca="1">'Исходник '!B20</f>
        <v>Фитнес-клуб</v>
      </c>
      <c r="V2"/>
      <c r="W2"/>
      <c r="X2"/>
      <c r="Y2"/>
      <c r="Z2"/>
      <c r="AA2"/>
      <c r="AB2"/>
      <c r="AC2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40" s="6" customFormat="1" ht="18" customHeight="1">
      <c r="A3" s="70"/>
      <c r="B3" s="6" t="str">
        <f ca="1">CONCATENATE('Исходник '!A5," ",'Исходник '!B5)</f>
        <v>Свидетельство о регистрации № 6231-2</v>
      </c>
      <c r="E3" s="70"/>
      <c r="F3" s="3"/>
      <c r="G3"/>
      <c r="H3"/>
      <c r="I3"/>
      <c r="J3"/>
      <c r="K3"/>
      <c r="L3"/>
      <c r="M3"/>
      <c r="N3"/>
      <c r="O3"/>
      <c r="P3"/>
      <c r="Q3" s="9" t="s">
        <v>494</v>
      </c>
      <c r="R3" s="10"/>
      <c r="S3"/>
      <c r="U3" s="6">
        <f ca="1">'Исходник '!B21</f>
        <v>0</v>
      </c>
      <c r="AJ3"/>
      <c r="AK3"/>
      <c r="AL3"/>
      <c r="AM3"/>
    </row>
    <row r="4" spans="1:40" s="6" customFormat="1" ht="18" customHeight="1">
      <c r="A4" s="9"/>
      <c r="B4" s="6" t="str">
        <f ca="1">CONCATENATE('Исходник '!A7," ",'Исходник '!B7)</f>
        <v xml:space="preserve">Действительно до «11» января 2022 г. </v>
      </c>
      <c r="G4"/>
      <c r="H4"/>
      <c r="I4"/>
      <c r="J4"/>
      <c r="K4"/>
      <c r="L4"/>
      <c r="M4"/>
      <c r="N4"/>
      <c r="O4"/>
      <c r="P4"/>
      <c r="Q4" s="9" t="s">
        <v>633</v>
      </c>
      <c r="R4"/>
      <c r="S4" s="10"/>
      <c r="T4"/>
      <c r="Y4"/>
      <c r="Z4" s="6" t="str">
        <f ca="1">'Исходник '!B34</f>
        <v>29 января 2020г.</v>
      </c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40" s="6" customFormat="1" ht="18" customHeight="1">
      <c r="A5" s="651" t="str">
        <f ca="1">CONCATENATE('Исходник '!A16," ",'Исходник '!D14)</f>
        <v>Протокол  №505-3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/>
      <c r="AK5"/>
      <c r="AL5"/>
      <c r="AM5"/>
    </row>
    <row r="6" spans="1:40" s="6" customFormat="1" ht="18" customHeight="1">
      <c r="A6" s="660" t="s">
        <v>854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/>
      <c r="AK6"/>
      <c r="AL6"/>
      <c r="AM6"/>
    </row>
    <row r="7" spans="1:40" s="6" customFormat="1" ht="18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/>
      <c r="AK7"/>
      <c r="AL7"/>
      <c r="AM7"/>
    </row>
    <row r="8" spans="1:40" ht="18" customHeight="1">
      <c r="A8" s="7"/>
      <c r="B8" s="653" t="str">
        <f ca="1">'Исходник '!A36</f>
        <v>Температура воздуха:</v>
      </c>
      <c r="C8" s="653"/>
      <c r="D8" s="72">
        <f ca="1">'Исходник '!B36</f>
        <v>21</v>
      </c>
      <c r="E8" s="7" t="s">
        <v>855</v>
      </c>
      <c r="F8" s="653" t="str">
        <f ca="1">'Исходник '!A37</f>
        <v>Влажность воздуха:</v>
      </c>
      <c r="G8" s="444"/>
      <c r="H8" s="444"/>
      <c r="I8" s="444"/>
      <c r="J8" s="444"/>
      <c r="K8" s="652">
        <f ca="1">'Исходник '!B37</f>
        <v>58</v>
      </c>
      <c r="L8" s="654"/>
      <c r="M8" s="654"/>
      <c r="N8" s="12" t="s">
        <v>856</v>
      </c>
      <c r="O8" s="12"/>
      <c r="P8" s="653" t="str">
        <f ca="1">'Исходник '!A38</f>
        <v>Атмосферное давление:</v>
      </c>
      <c r="Q8" s="655"/>
      <c r="R8" s="655"/>
      <c r="S8" s="655"/>
      <c r="T8" s="655"/>
      <c r="U8" s="655"/>
      <c r="V8" s="652">
        <f ca="1">'Исходник '!B38</f>
        <v>741</v>
      </c>
      <c r="W8" s="652"/>
      <c r="X8" s="7" t="s">
        <v>525</v>
      </c>
      <c r="Y8" s="7"/>
      <c r="Z8" s="7"/>
      <c r="AM8" s="6"/>
      <c r="AN8"/>
    </row>
    <row r="9" spans="1:40" s="6" customFormat="1" ht="18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/>
      <c r="AK9"/>
      <c r="AL9"/>
      <c r="AM9"/>
    </row>
    <row r="10" spans="1:40" s="6" customFormat="1" ht="18" customHeight="1">
      <c r="A10" s="508" t="str">
        <f ca="1">'Исходник '!B23</f>
        <v>эксплуатационные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/>
      <c r="AK10"/>
      <c r="AL10"/>
      <c r="AM10"/>
    </row>
    <row r="11" spans="1:40" s="6" customFormat="1" ht="18" customHeight="1">
      <c r="A11" s="606" t="s">
        <v>802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/>
      <c r="AK11"/>
      <c r="AL11"/>
      <c r="AM11"/>
    </row>
    <row r="12" spans="1:40" s="6" customFormat="1" ht="18" customHeight="1">
      <c r="A12" s="651" t="s">
        <v>858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/>
      <c r="AK12"/>
      <c r="AL12"/>
      <c r="AM12"/>
    </row>
    <row r="13" spans="1:40" s="6" customFormat="1" ht="18" customHeight="1">
      <c r="A13" s="687" t="s">
        <v>916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/>
      <c r="AK13"/>
      <c r="AL13"/>
      <c r="AM13"/>
    </row>
    <row r="14" spans="1:40" ht="18" customHeight="1">
      <c r="A14" s="664" t="s">
        <v>804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342"/>
    </row>
    <row r="15" spans="1:40" ht="27.95" customHeight="1">
      <c r="A15" s="548" t="s">
        <v>540</v>
      </c>
      <c r="B15" s="665" t="s">
        <v>860</v>
      </c>
      <c r="C15" s="666"/>
      <c r="D15" s="667"/>
      <c r="E15" s="548" t="s">
        <v>917</v>
      </c>
      <c r="F15" s="548"/>
      <c r="G15" s="548"/>
      <c r="H15" s="548"/>
      <c r="I15" s="548"/>
      <c r="J15" s="548" t="s">
        <v>862</v>
      </c>
      <c r="K15" s="548"/>
      <c r="L15" s="548"/>
      <c r="M15" s="548" t="s">
        <v>863</v>
      </c>
      <c r="N15" s="548"/>
      <c r="O15" s="548"/>
      <c r="P15" s="548" t="s">
        <v>864</v>
      </c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661" t="s">
        <v>865</v>
      </c>
      <c r="AK15" s="661" t="s">
        <v>866</v>
      </c>
    </row>
    <row r="16" spans="1:40" ht="15.75" customHeight="1">
      <c r="A16" s="548"/>
      <c r="B16" s="668"/>
      <c r="C16" s="669"/>
      <c r="D16" s="670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661"/>
      <c r="AK16" s="661"/>
    </row>
    <row r="17" spans="1:44" ht="15.75" customHeight="1">
      <c r="A17" s="548"/>
      <c r="B17" s="668"/>
      <c r="C17" s="669"/>
      <c r="D17" s="670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 t="s">
        <v>867</v>
      </c>
      <c r="Q17" s="548"/>
      <c r="R17" s="548" t="s">
        <v>868</v>
      </c>
      <c r="S17" s="548"/>
      <c r="T17" s="548" t="s">
        <v>869</v>
      </c>
      <c r="U17" s="548"/>
      <c r="V17" s="548" t="s">
        <v>870</v>
      </c>
      <c r="W17" s="548"/>
      <c r="X17" s="548" t="s">
        <v>871</v>
      </c>
      <c r="Y17" s="548"/>
      <c r="Z17" s="548" t="s">
        <v>872</v>
      </c>
      <c r="AA17" s="548"/>
      <c r="AB17" s="548" t="s">
        <v>873</v>
      </c>
      <c r="AC17" s="548"/>
      <c r="AD17" s="548" t="s">
        <v>874</v>
      </c>
      <c r="AE17" s="548"/>
      <c r="AF17" s="548" t="s">
        <v>875</v>
      </c>
      <c r="AG17" s="548"/>
      <c r="AH17" s="548" t="s">
        <v>876</v>
      </c>
      <c r="AI17" s="548"/>
      <c r="AJ17" s="661"/>
      <c r="AK17" s="661"/>
    </row>
    <row r="18" spans="1:44" ht="15.75" customHeight="1">
      <c r="A18" s="548"/>
      <c r="B18" s="668"/>
      <c r="C18" s="669"/>
      <c r="D18" s="670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661"/>
      <c r="AK18" s="661"/>
    </row>
    <row r="19" spans="1:44" ht="15.75" customHeight="1">
      <c r="A19" s="548"/>
      <c r="B19" s="668"/>
      <c r="C19" s="669"/>
      <c r="D19" s="670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661"/>
      <c r="AK19" s="661"/>
    </row>
    <row r="20" spans="1:44" ht="54.75" customHeight="1">
      <c r="A20" s="548"/>
      <c r="B20" s="562"/>
      <c r="C20" s="563"/>
      <c r="D20" s="564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661"/>
      <c r="AK20" s="662"/>
      <c r="AR20" s="7"/>
    </row>
    <row r="21" spans="1:44" s="86" customFormat="1" ht="20.100000000000001" customHeight="1">
      <c r="A21" s="155">
        <v>1</v>
      </c>
      <c r="B21" s="81">
        <v>2</v>
      </c>
      <c r="C21" s="82"/>
      <c r="D21" s="82"/>
      <c r="E21" s="82">
        <v>3</v>
      </c>
      <c r="F21" s="83"/>
      <c r="G21" s="83"/>
      <c r="H21" s="83"/>
      <c r="I21" s="84"/>
      <c r="J21" s="671">
        <v>4</v>
      </c>
      <c r="K21" s="671"/>
      <c r="L21" s="671"/>
      <c r="M21" s="671">
        <v>5</v>
      </c>
      <c r="N21" s="671"/>
      <c r="O21" s="671"/>
      <c r="P21" s="671">
        <v>6</v>
      </c>
      <c r="Q21" s="671"/>
      <c r="R21" s="671">
        <v>7</v>
      </c>
      <c r="S21" s="671"/>
      <c r="T21" s="671">
        <v>8</v>
      </c>
      <c r="U21" s="671"/>
      <c r="V21" s="671">
        <v>9</v>
      </c>
      <c r="W21" s="671"/>
      <c r="X21" s="671">
        <v>10</v>
      </c>
      <c r="Y21" s="671"/>
      <c r="Z21" s="671">
        <v>11</v>
      </c>
      <c r="AA21" s="671"/>
      <c r="AB21" s="671">
        <v>12</v>
      </c>
      <c r="AC21" s="671"/>
      <c r="AD21" s="671">
        <v>13</v>
      </c>
      <c r="AE21" s="671"/>
      <c r="AF21" s="671">
        <v>14</v>
      </c>
      <c r="AG21" s="671"/>
      <c r="AH21" s="671">
        <v>15</v>
      </c>
      <c r="AI21" s="671"/>
      <c r="AJ21" s="87"/>
      <c r="AK21" s="85"/>
      <c r="AN21" s="53"/>
      <c r="AP21"/>
      <c r="AQ21"/>
    </row>
    <row r="22" spans="1:44" s="134" customFormat="1" ht="20.100000000000001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36"/>
      <c r="AK22" s="87"/>
      <c r="AN22" s="35"/>
      <c r="AP22"/>
      <c r="AQ22"/>
    </row>
    <row r="23" spans="1:44" s="148" customFormat="1" ht="20.100000000000001" customHeight="1">
      <c r="A23" s="135">
        <v>1</v>
      </c>
      <c r="B23" s="146" t="s">
        <v>877</v>
      </c>
      <c r="C23" s="403" t="s">
        <v>888</v>
      </c>
      <c r="D23" s="147" t="str">
        <f>IF(AJ23="АВС","~380В","~220В")</f>
        <v>~380В</v>
      </c>
      <c r="E23" s="545" t="s">
        <v>918</v>
      </c>
      <c r="F23" s="546"/>
      <c r="G23" s="250" t="str">
        <f>IF(OR(E23="ПВС",E23="ПУНП",E23="ПУГНП",E23="ШВВП"),"*"," ")</f>
        <v xml:space="preserve"> </v>
      </c>
      <c r="H23" s="249" t="s">
        <v>899</v>
      </c>
      <c r="I23" s="147">
        <v>10</v>
      </c>
      <c r="J23" s="548">
        <f>IF(I23&gt;16,2500,1000)</f>
        <v>1000</v>
      </c>
      <c r="K23" s="546"/>
      <c r="L23" s="547"/>
      <c r="M23" s="548">
        <v>0.5</v>
      </c>
      <c r="N23" s="548"/>
      <c r="O23" s="548"/>
      <c r="P23" s="663">
        <f>IF(AJ23="АВС",TRUNC((AK23+AK23*15/100)/10,0)*10,"-")</f>
        <v>1720</v>
      </c>
      <c r="Q23" s="663"/>
      <c r="R23" s="672">
        <f>IF(AJ23="АВС",TRUNC((AK23-AK23*10/100)/10,0)*10,"-")</f>
        <v>1350</v>
      </c>
      <c r="S23" s="673"/>
      <c r="T23" s="663">
        <f>IF(AJ23="АВС",TRUNC((AK23+AK23*8/100)/10,0)*10,"-")</f>
        <v>1620</v>
      </c>
      <c r="U23" s="663"/>
      <c r="V23" s="663">
        <f>IF(OR(AJ23="АВС",AJ23="А"),TRUNC((AK23-AK23*6/100)/10,0)*10,"-")</f>
        <v>1410</v>
      </c>
      <c r="W23" s="663"/>
      <c r="X23" s="663">
        <f>IF(OR(AJ23="АВС",AJ23="В"),TRUNC((AK23-AK23*9/100)/10,0)*10,"-")</f>
        <v>1360</v>
      </c>
      <c r="Y23" s="663"/>
      <c r="Z23" s="663">
        <f>IF(OR(AJ23="АВС",AJ23="С"),TRUNC((AK23+AK23*4/100)/10,0)*10,"-")</f>
        <v>1560</v>
      </c>
      <c r="AA23" s="663"/>
      <c r="AB23" s="663">
        <f>IF(OR(AJ23="АВС",AJ23="А"),TRUNC((AK23+AK23*7/100)/10,0)*10,"-")</f>
        <v>1600</v>
      </c>
      <c r="AC23" s="663"/>
      <c r="AD23" s="663">
        <f>IF(OR(AJ23="АВС",AJ23="В"),TRUNC((AK23-AK23*3/100)/10,0)*10,"-")</f>
        <v>1450</v>
      </c>
      <c r="AE23" s="663"/>
      <c r="AF23" s="663">
        <f>IF(OR(AJ23="АВС",AJ23="С"),TRUNC((AK23+AK23*5/100)/10,0)*10,"-")</f>
        <v>1570</v>
      </c>
      <c r="AG23" s="663"/>
      <c r="AH23" s="548">
        <f>TRUNC(AK23/10,0)*10</f>
        <v>1500</v>
      </c>
      <c r="AI23" s="548"/>
      <c r="AJ23" s="149" t="s">
        <v>440</v>
      </c>
      <c r="AK23" s="150">
        <v>1500</v>
      </c>
    </row>
    <row r="24" spans="1:44" ht="21.75" customHeight="1">
      <c r="A24" s="641" t="s">
        <v>841</v>
      </c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AJ24" s="134"/>
      <c r="AK24" s="144"/>
      <c r="AN24"/>
    </row>
    <row r="25" spans="1:44" ht="27" customHeight="1">
      <c r="A25" s="460" t="s">
        <v>540</v>
      </c>
      <c r="B25" s="453" t="s">
        <v>541</v>
      </c>
      <c r="C25" s="454"/>
      <c r="D25" s="453" t="s">
        <v>911</v>
      </c>
      <c r="E25" s="680"/>
      <c r="F25" s="680"/>
      <c r="G25" s="454"/>
      <c r="H25" s="457" t="s">
        <v>544</v>
      </c>
      <c r="I25" s="459"/>
      <c r="J25" s="459"/>
      <c r="K25" s="459"/>
      <c r="L25" s="459"/>
      <c r="M25" s="459"/>
      <c r="N25" s="459"/>
      <c r="O25" s="458"/>
      <c r="P25" s="457" t="s">
        <v>545</v>
      </c>
      <c r="Q25" s="459"/>
      <c r="R25" s="459"/>
      <c r="S25" s="459"/>
      <c r="T25" s="459"/>
      <c r="U25" s="459"/>
      <c r="V25" s="459"/>
      <c r="W25" s="458"/>
      <c r="X25" s="453" t="s">
        <v>546</v>
      </c>
      <c r="Y25" s="680"/>
      <c r="Z25" s="680"/>
      <c r="AA25" s="680"/>
      <c r="AB25" s="454"/>
      <c r="AC25" s="679" t="s">
        <v>912</v>
      </c>
      <c r="AD25" s="679"/>
      <c r="AE25" s="679"/>
      <c r="AF25" s="679"/>
      <c r="AG25" s="679"/>
      <c r="AH25" s="679"/>
      <c r="AI25" s="679"/>
      <c r="AJ25" s="137"/>
      <c r="AN25"/>
    </row>
    <row r="26" spans="1:44" ht="30" customHeight="1">
      <c r="A26" s="461"/>
      <c r="B26" s="455"/>
      <c r="C26" s="456"/>
      <c r="D26" s="455"/>
      <c r="E26" s="681"/>
      <c r="F26" s="681"/>
      <c r="G26" s="456"/>
      <c r="H26" s="457" t="s">
        <v>548</v>
      </c>
      <c r="I26" s="459"/>
      <c r="J26" s="459"/>
      <c r="K26" s="458"/>
      <c r="L26" s="457" t="s">
        <v>549</v>
      </c>
      <c r="M26" s="459"/>
      <c r="N26" s="459"/>
      <c r="O26" s="458"/>
      <c r="P26" s="457" t="s">
        <v>550</v>
      </c>
      <c r="Q26" s="459"/>
      <c r="R26" s="459"/>
      <c r="S26" s="458"/>
      <c r="T26" s="457" t="s">
        <v>551</v>
      </c>
      <c r="U26" s="459"/>
      <c r="V26" s="459"/>
      <c r="W26" s="458"/>
      <c r="X26" s="455"/>
      <c r="Y26" s="681"/>
      <c r="Z26" s="681"/>
      <c r="AA26" s="681"/>
      <c r="AB26" s="456"/>
      <c r="AC26" s="679"/>
      <c r="AD26" s="679"/>
      <c r="AE26" s="679"/>
      <c r="AF26" s="679"/>
      <c r="AG26" s="679"/>
      <c r="AH26" s="679"/>
      <c r="AI26" s="679"/>
      <c r="AJ26" s="137"/>
      <c r="AN26"/>
    </row>
    <row r="27" spans="1:44" ht="39.950000000000003" customHeight="1">
      <c r="A27" s="56">
        <v>1</v>
      </c>
      <c r="B27" s="457" t="str">
        <f ca="1">'Исходник '!B56</f>
        <v>MPI-520</v>
      </c>
      <c r="C27" s="458"/>
      <c r="D27" s="457">
        <f ca="1">'Исходник '!C56</f>
        <v>723895</v>
      </c>
      <c r="E27" s="459"/>
      <c r="F27" s="459"/>
      <c r="G27" s="458"/>
      <c r="H27" s="457" t="str">
        <f ca="1">'Исходник '!F57</f>
        <v>0…3 ГОм (1 кОм)</v>
      </c>
      <c r="I27" s="459"/>
      <c r="J27" s="459"/>
      <c r="K27" s="458"/>
      <c r="L27" s="457" t="str">
        <f ca="1">'Исходник '!H57</f>
        <v>± (3% Riso+8 е.м.р.)</v>
      </c>
      <c r="M27" s="459"/>
      <c r="N27" s="459"/>
      <c r="O27" s="458"/>
      <c r="P27" s="487">
        <f ca="1">'Исходник '!J56</f>
        <v>43530</v>
      </c>
      <c r="Q27" s="678"/>
      <c r="R27" s="678"/>
      <c r="S27" s="488"/>
      <c r="T27" s="487">
        <f ca="1">'Исходник '!L56</f>
        <v>43895</v>
      </c>
      <c r="U27" s="678"/>
      <c r="V27" s="678"/>
      <c r="W27" s="488"/>
      <c r="X27" s="457" t="str">
        <f ca="1">'Исходник '!N56</f>
        <v>№18182-А</v>
      </c>
      <c r="Y27" s="459"/>
      <c r="Z27" s="459"/>
      <c r="AA27" s="459"/>
      <c r="AB27" s="458"/>
      <c r="AC27" s="679" t="str">
        <f ca="1">'Исходник '!P56</f>
        <v>ООО "СОНЕЛ"</v>
      </c>
      <c r="AD27" s="679"/>
      <c r="AE27" s="679"/>
      <c r="AF27" s="679"/>
      <c r="AG27" s="679"/>
      <c r="AH27" s="679"/>
      <c r="AI27" s="679"/>
      <c r="AJ27" s="137"/>
      <c r="AN27"/>
    </row>
    <row r="28" spans="1:44" ht="39.950000000000003" customHeight="1">
      <c r="A28" s="56">
        <v>2</v>
      </c>
      <c r="B28" s="457" t="str">
        <f ca="1">'Исходник '!B61</f>
        <v>ИВТМ-7</v>
      </c>
      <c r="C28" s="458"/>
      <c r="D28" s="457">
        <f ca="1">'Исходник '!C61</f>
        <v>20084</v>
      </c>
      <c r="E28" s="459"/>
      <c r="F28" s="459"/>
      <c r="G28" s="458"/>
      <c r="H28" s="457" t="str">
        <f ca="1">'Исходник '!F61</f>
        <v>0-99 %
-20 +60 0С</v>
      </c>
      <c r="I28" s="459"/>
      <c r="J28" s="459"/>
      <c r="K28" s="458"/>
      <c r="L28" s="457" t="str">
        <f ca="1">'Исходник '!H61</f>
        <v>± 2%
± 0,2 0С</v>
      </c>
      <c r="M28" s="459"/>
      <c r="N28" s="459"/>
      <c r="O28" s="458"/>
      <c r="P28" s="487">
        <f ca="1">'Исходник '!J61</f>
        <v>43517</v>
      </c>
      <c r="Q28" s="678"/>
      <c r="R28" s="678"/>
      <c r="S28" s="488"/>
      <c r="T28" s="487" t="str">
        <f ca="1">'Исходник '!L61</f>
        <v>21.02.2020.</v>
      </c>
      <c r="U28" s="678"/>
      <c r="V28" s="678"/>
      <c r="W28" s="488"/>
      <c r="X28" s="457" t="str">
        <f ca="1">'Исходник '!N61</f>
        <v>№197</v>
      </c>
      <c r="Y28" s="459"/>
      <c r="Z28" s="459"/>
      <c r="AA28" s="459"/>
      <c r="AB28" s="458"/>
      <c r="AC28" s="679" t="str">
        <f ca="1">'Исходник '!P61</f>
        <v>ООО НПК "АВИАПРИБОР"</v>
      </c>
      <c r="AD28" s="679"/>
      <c r="AE28" s="679"/>
      <c r="AF28" s="679"/>
      <c r="AG28" s="679"/>
      <c r="AH28" s="679"/>
      <c r="AI28" s="679"/>
      <c r="AJ28" s="137"/>
      <c r="AN28"/>
    </row>
    <row r="29" spans="1:44" ht="39.950000000000003" customHeight="1">
      <c r="A29" s="56">
        <v>3</v>
      </c>
      <c r="B29" s="457" t="str">
        <f ca="1">'Исходник '!B62</f>
        <v>Барометр М 67</v>
      </c>
      <c r="C29" s="458"/>
      <c r="D29" s="457">
        <f ca="1">'Исходник '!C62</f>
        <v>74</v>
      </c>
      <c r="E29" s="459"/>
      <c r="F29" s="459"/>
      <c r="G29" s="458"/>
      <c r="H29" s="457" t="str">
        <f ca="1">'Исходник '!F62</f>
        <v>610-790
 мм.рт.ст</v>
      </c>
      <c r="I29" s="459"/>
      <c r="J29" s="459"/>
      <c r="K29" s="458"/>
      <c r="L29" s="457" t="str">
        <f ca="1">'Исходник '!H62</f>
        <v>± 0,8 мм.рт.ст.</v>
      </c>
      <c r="M29" s="459"/>
      <c r="N29" s="459"/>
      <c r="O29" s="458"/>
      <c r="P29" s="487">
        <f ca="1">'Исходник '!J62</f>
        <v>43517</v>
      </c>
      <c r="Q29" s="678"/>
      <c r="R29" s="678"/>
      <c r="S29" s="488"/>
      <c r="T29" s="487" t="str">
        <f ca="1">'Исходник '!L62</f>
        <v>21.02.2020.</v>
      </c>
      <c r="U29" s="678"/>
      <c r="V29" s="678"/>
      <c r="W29" s="488"/>
      <c r="X29" s="457" t="str">
        <f ca="1">'Исходник '!N62</f>
        <v>№200</v>
      </c>
      <c r="Y29" s="459"/>
      <c r="Z29" s="459"/>
      <c r="AA29" s="459"/>
      <c r="AB29" s="458"/>
      <c r="AC29" s="679" t="str">
        <f ca="1">'Исходник '!P62</f>
        <v>ООО НПК "АВИАПРИБОР"</v>
      </c>
      <c r="AD29" s="679"/>
      <c r="AE29" s="679"/>
      <c r="AF29" s="679"/>
      <c r="AG29" s="679"/>
      <c r="AH29" s="679"/>
      <c r="AI29" s="679"/>
      <c r="AJ29" s="137"/>
      <c r="AN29"/>
    </row>
    <row r="30" spans="1:44" ht="39.950000000000003" customHeight="1">
      <c r="A30" s="56">
        <v>4</v>
      </c>
      <c r="B30" s="457" t="str">
        <f ca="1">'Исходник '!B64</f>
        <v>MIC-2500</v>
      </c>
      <c r="C30" s="458"/>
      <c r="D30" s="457">
        <f ca="1">'Исходник '!C64</f>
        <v>248181</v>
      </c>
      <c r="E30" s="459"/>
      <c r="F30" s="459"/>
      <c r="G30" s="458"/>
      <c r="H30" s="457" t="str">
        <f ca="1">'Исходник '!F64</f>
        <v>50,00 кОм…110,0 Гом
(0,01 кОм…0,1 Гом)</v>
      </c>
      <c r="I30" s="459"/>
      <c r="J30" s="459"/>
      <c r="K30" s="458"/>
      <c r="L30" s="457" t="str">
        <f ca="1">'Исходник '!H64</f>
        <v>± (3% и.в.+20 е.м.р.)</v>
      </c>
      <c r="M30" s="459"/>
      <c r="N30" s="459"/>
      <c r="O30" s="458"/>
      <c r="P30" s="487">
        <f ca="1">'Исходник '!J64</f>
        <v>43553</v>
      </c>
      <c r="Q30" s="678"/>
      <c r="R30" s="678"/>
      <c r="S30" s="488"/>
      <c r="T30" s="487">
        <f ca="1">'Исходник '!L64</f>
        <v>43919</v>
      </c>
      <c r="U30" s="678"/>
      <c r="V30" s="678"/>
      <c r="W30" s="488"/>
      <c r="X30" s="457" t="str">
        <f ca="1">'Исходник '!N64</f>
        <v>№301</v>
      </c>
      <c r="Y30" s="459"/>
      <c r="Z30" s="459"/>
      <c r="AA30" s="459"/>
      <c r="AB30" s="458"/>
      <c r="AC30" s="679" t="str">
        <f ca="1">'Исходник '!P64</f>
        <v>ООО НПК "АВИАПРИБОР"</v>
      </c>
      <c r="AD30" s="679"/>
      <c r="AE30" s="679"/>
      <c r="AF30" s="679"/>
      <c r="AG30" s="679"/>
      <c r="AH30" s="679"/>
      <c r="AI30" s="679"/>
      <c r="AJ30" s="137"/>
      <c r="AN30"/>
    </row>
    <row r="31" spans="1:44" s="55" customFormat="1" ht="96" customHeight="1">
      <c r="A31" s="64" t="s">
        <v>913</v>
      </c>
      <c r="B31" s="285"/>
      <c r="C31" s="688" t="s">
        <v>919</v>
      </c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285"/>
      <c r="AK31" s="285"/>
    </row>
    <row r="32" spans="1:44" s="55" customFormat="1" ht="18" customHeight="1">
      <c r="A32" s="64" t="s">
        <v>789</v>
      </c>
      <c r="B32" s="64"/>
      <c r="C32" s="690" t="s">
        <v>920</v>
      </c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0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0"/>
      <c r="AE32" s="690"/>
      <c r="AF32" s="690"/>
      <c r="AG32" s="690"/>
      <c r="AH32" s="690"/>
      <c r="AI32" s="690"/>
      <c r="AJ32" s="285"/>
    </row>
    <row r="33" spans="1:40" ht="33.75" customHeight="1">
      <c r="A33" s="682" t="s">
        <v>790</v>
      </c>
      <c r="B33" s="682"/>
      <c r="C33" s="682"/>
      <c r="D33" s="632" t="s">
        <v>749</v>
      </c>
      <c r="E33" s="632"/>
      <c r="F33" s="632"/>
      <c r="G33" s="632"/>
      <c r="H33" s="632"/>
      <c r="I33" s="632"/>
      <c r="J33" s="632"/>
      <c r="N33" s="632"/>
      <c r="O33" s="632"/>
      <c r="P33" s="632"/>
      <c r="Q33" s="632"/>
      <c r="R33" s="632"/>
      <c r="S33" s="632"/>
      <c r="T33" s="632"/>
      <c r="X33" s="632" t="str">
        <f ca="1">'Исходник '!B12</f>
        <v>Евдокимов А.О.</v>
      </c>
      <c r="Y33" s="632"/>
      <c r="Z33" s="632"/>
      <c r="AA33" s="632"/>
      <c r="AB33" s="632"/>
      <c r="AC33" s="632"/>
      <c r="AD33" s="632"/>
      <c r="AE33" s="632"/>
      <c r="AF33" s="632"/>
      <c r="AJ33" s="137"/>
      <c r="AN33"/>
    </row>
    <row r="34" spans="1:40" ht="18" customHeight="1">
      <c r="A34" s="58"/>
      <c r="B34" s="58"/>
      <c r="C34" s="58"/>
      <c r="D34" s="607" t="s">
        <v>751</v>
      </c>
      <c r="E34" s="607"/>
      <c r="F34" s="607"/>
      <c r="G34" s="607"/>
      <c r="H34" s="607"/>
      <c r="I34" s="607"/>
      <c r="J34" s="607"/>
      <c r="K34" s="58"/>
      <c r="L34" s="58"/>
      <c r="M34" s="58"/>
      <c r="N34" s="607" t="s">
        <v>653</v>
      </c>
      <c r="O34" s="607"/>
      <c r="P34" s="607"/>
      <c r="Q34" s="607"/>
      <c r="R34" s="607"/>
      <c r="S34" s="607"/>
      <c r="T34" s="607"/>
      <c r="U34" s="58"/>
      <c r="V34" s="58"/>
      <c r="X34" s="607" t="s">
        <v>791</v>
      </c>
      <c r="Y34" s="607"/>
      <c r="Z34" s="607"/>
      <c r="AA34" s="607"/>
      <c r="AB34" s="607"/>
      <c r="AC34" s="607"/>
      <c r="AD34" s="607"/>
      <c r="AE34" s="607"/>
      <c r="AF34" s="607"/>
      <c r="AG34" s="58"/>
      <c r="AH34" s="58"/>
      <c r="AJ34" s="137"/>
      <c r="AN34"/>
    </row>
    <row r="35" spans="1:40" ht="18" customHeight="1">
      <c r="A35" s="23"/>
      <c r="B35" s="23"/>
      <c r="C35" s="23"/>
      <c r="D35" s="632" t="s">
        <v>792</v>
      </c>
      <c r="E35" s="632"/>
      <c r="F35" s="632"/>
      <c r="G35" s="632"/>
      <c r="H35" s="632"/>
      <c r="I35" s="632"/>
      <c r="J35" s="632"/>
      <c r="K35" s="57"/>
      <c r="L35" s="57"/>
      <c r="M35" s="57"/>
      <c r="N35" s="632"/>
      <c r="O35" s="632"/>
      <c r="P35" s="632"/>
      <c r="Q35" s="632"/>
      <c r="R35" s="632"/>
      <c r="S35" s="632"/>
      <c r="T35" s="632"/>
      <c r="U35" s="57"/>
      <c r="V35" s="57"/>
      <c r="W35" s="88"/>
      <c r="X35" s="632" t="str">
        <f ca="1">'Исходник '!B13</f>
        <v>Кокшаров С.В.</v>
      </c>
      <c r="Y35" s="632"/>
      <c r="Z35" s="632"/>
      <c r="AA35" s="632"/>
      <c r="AB35" s="632"/>
      <c r="AC35" s="632"/>
      <c r="AD35" s="632"/>
      <c r="AE35" s="632"/>
      <c r="AF35" s="632"/>
      <c r="AG35" s="57"/>
      <c r="AH35" s="57"/>
      <c r="AJ35" s="134"/>
      <c r="AN35"/>
    </row>
    <row r="36" spans="1:40" ht="18" customHeight="1">
      <c r="A36" s="24"/>
      <c r="B36" s="24"/>
      <c r="C36" s="24"/>
      <c r="D36" s="607" t="s">
        <v>751</v>
      </c>
      <c r="E36" s="607"/>
      <c r="F36" s="607"/>
      <c r="G36" s="607"/>
      <c r="H36" s="607"/>
      <c r="I36" s="607"/>
      <c r="J36" s="607"/>
      <c r="K36" s="58"/>
      <c r="L36" s="58"/>
      <c r="M36" s="58"/>
      <c r="N36" s="607" t="s">
        <v>653</v>
      </c>
      <c r="O36" s="607"/>
      <c r="P36" s="607"/>
      <c r="Q36" s="607"/>
      <c r="R36" s="607"/>
      <c r="S36" s="607"/>
      <c r="T36" s="607"/>
      <c r="U36" s="58"/>
      <c r="V36" s="58"/>
      <c r="W36" s="88"/>
      <c r="X36" s="607" t="s">
        <v>791</v>
      </c>
      <c r="Y36" s="607"/>
      <c r="Z36" s="607"/>
      <c r="AA36" s="607"/>
      <c r="AB36" s="607"/>
      <c r="AC36" s="607"/>
      <c r="AD36" s="607"/>
      <c r="AE36" s="607"/>
      <c r="AF36" s="607"/>
      <c r="AG36" s="65"/>
      <c r="AH36" s="65"/>
      <c r="AJ36" s="137"/>
      <c r="AN36"/>
    </row>
    <row r="37" spans="1:40" ht="18" customHeight="1">
      <c r="A37" s="682" t="s">
        <v>793</v>
      </c>
      <c r="B37" s="682"/>
      <c r="C37" s="682"/>
      <c r="D37" s="632" t="s">
        <v>749</v>
      </c>
      <c r="E37" s="632"/>
      <c r="F37" s="632"/>
      <c r="G37" s="632"/>
      <c r="H37" s="632"/>
      <c r="I37" s="632"/>
      <c r="J37" s="632"/>
      <c r="K37" s="57"/>
      <c r="L37" s="57"/>
      <c r="M37" s="57"/>
      <c r="N37" s="632"/>
      <c r="O37" s="632"/>
      <c r="P37" s="632"/>
      <c r="Q37" s="632"/>
      <c r="R37" s="632"/>
      <c r="S37" s="632"/>
      <c r="T37" s="632"/>
      <c r="U37" s="57"/>
      <c r="V37" s="57"/>
      <c r="W37" s="88"/>
      <c r="X37" s="632" t="str">
        <f ca="1">'Исходник '!B12</f>
        <v>Евдокимов А.О.</v>
      </c>
      <c r="Y37" s="632"/>
      <c r="Z37" s="632"/>
      <c r="AA37" s="632"/>
      <c r="AB37" s="632"/>
      <c r="AC37" s="632"/>
      <c r="AD37" s="632"/>
      <c r="AE37" s="632"/>
      <c r="AF37" s="632"/>
      <c r="AG37" s="57"/>
      <c r="AH37" s="57"/>
      <c r="AJ37" s="137"/>
      <c r="AN37"/>
    </row>
    <row r="38" spans="1:40" ht="18" customHeight="1">
      <c r="A38" s="58"/>
      <c r="B38" s="58"/>
      <c r="C38" s="58"/>
      <c r="D38" s="607" t="s">
        <v>751</v>
      </c>
      <c r="E38" s="607"/>
      <c r="F38" s="607"/>
      <c r="G38" s="607"/>
      <c r="H38" s="607"/>
      <c r="I38" s="607"/>
      <c r="J38" s="607"/>
      <c r="K38" s="58"/>
      <c r="L38" s="58"/>
      <c r="M38" s="58"/>
      <c r="N38" s="607" t="s">
        <v>653</v>
      </c>
      <c r="O38" s="607"/>
      <c r="P38" s="607"/>
      <c r="Q38" s="607"/>
      <c r="R38" s="607"/>
      <c r="S38" s="607"/>
      <c r="T38" s="607"/>
      <c r="U38" s="58"/>
      <c r="V38" s="58"/>
      <c r="X38" s="607" t="s">
        <v>791</v>
      </c>
      <c r="Y38" s="607"/>
      <c r="Z38" s="607"/>
      <c r="AA38" s="607"/>
      <c r="AB38" s="607"/>
      <c r="AC38" s="607"/>
      <c r="AD38" s="607"/>
      <c r="AE38" s="607"/>
      <c r="AF38" s="607"/>
      <c r="AG38" s="58"/>
      <c r="AH38" s="58"/>
      <c r="AJ38" s="137"/>
      <c r="AN38"/>
    </row>
    <row r="39" spans="1:40" s="89" customFormat="1" ht="12.95" customHeight="1">
      <c r="A39" s="683" t="s">
        <v>794</v>
      </c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134"/>
      <c r="AN39" s="90"/>
    </row>
    <row r="40" spans="1:40" s="27" customFormat="1" ht="12.95" customHeight="1">
      <c r="A40" s="683" t="s">
        <v>795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137"/>
      <c r="AK40" s="89"/>
      <c r="AN40" s="37"/>
    </row>
    <row r="41" spans="1:40" ht="15" customHeight="1">
      <c r="A41" s="57"/>
      <c r="B41" s="57"/>
      <c r="C41" s="57"/>
      <c r="D41" s="57"/>
      <c r="AJ41" s="137"/>
    </row>
    <row r="42" spans="1:40" ht="12.75" customHeight="1">
      <c r="A42" s="65"/>
      <c r="B42" s="65"/>
      <c r="C42" s="65"/>
      <c r="D42" s="65"/>
      <c r="AJ42" s="137"/>
    </row>
    <row r="43" spans="1:40" ht="15" customHeight="1">
      <c r="P43" s="57"/>
      <c r="Q43" s="57"/>
      <c r="R43" s="57"/>
      <c r="S43" s="57"/>
      <c r="T43" s="57"/>
      <c r="U43" s="57"/>
      <c r="V43" s="57"/>
      <c r="W43" s="88"/>
      <c r="Z43" s="57"/>
      <c r="AA43" s="57"/>
      <c r="AB43" s="57"/>
      <c r="AC43" s="57"/>
      <c r="AD43" s="57"/>
      <c r="AE43" s="57"/>
      <c r="AF43" s="57"/>
      <c r="AG43" s="57"/>
      <c r="AH43" s="57"/>
      <c r="AJ43" s="137"/>
    </row>
    <row r="44" spans="1:40" ht="12.75" customHeight="1">
      <c r="P44" s="58"/>
      <c r="Q44" s="58"/>
      <c r="R44" s="58"/>
      <c r="S44" s="58"/>
      <c r="T44" s="58"/>
      <c r="U44" s="58"/>
      <c r="V44" s="58"/>
      <c r="Z44" s="58"/>
      <c r="AA44" s="58"/>
      <c r="AB44" s="58"/>
      <c r="AC44" s="58"/>
      <c r="AD44" s="58"/>
      <c r="AE44" s="58"/>
      <c r="AF44" s="58"/>
      <c r="AG44" s="58"/>
      <c r="AH44" s="58"/>
      <c r="AJ44" s="134"/>
    </row>
    <row r="45" spans="1:40">
      <c r="P45" s="57"/>
      <c r="Q45" s="57"/>
      <c r="R45" s="57"/>
      <c r="S45" s="57"/>
      <c r="T45" s="57"/>
      <c r="U45" s="57"/>
      <c r="V45" s="57"/>
      <c r="Z45" s="57"/>
      <c r="AA45" s="57"/>
      <c r="AB45" s="57"/>
      <c r="AC45" s="57"/>
      <c r="AD45" s="57"/>
      <c r="AE45" s="57"/>
      <c r="AF45" s="57"/>
      <c r="AG45" s="57"/>
      <c r="AH45" s="57"/>
      <c r="AJ45" s="137"/>
    </row>
    <row r="46" spans="1:40">
      <c r="AJ46" s="137"/>
    </row>
    <row r="47" spans="1:40">
      <c r="AJ47" s="137"/>
    </row>
    <row r="48" spans="1:40">
      <c r="AJ48" s="137"/>
    </row>
    <row r="49" spans="36:36">
      <c r="AJ49" s="137"/>
    </row>
    <row r="50" spans="36:36">
      <c r="AJ50" s="137"/>
    </row>
    <row r="51" spans="36:36">
      <c r="AJ51" s="137"/>
    </row>
    <row r="52" spans="36:36">
      <c r="AJ52" s="137"/>
    </row>
    <row r="53" spans="36:36">
      <c r="AJ53" s="137"/>
    </row>
    <row r="54" spans="36:36">
      <c r="AJ54" s="134"/>
    </row>
    <row r="55" spans="36:36">
      <c r="AJ55" s="137"/>
    </row>
    <row r="56" spans="36:36">
      <c r="AJ56" s="137"/>
    </row>
    <row r="57" spans="36:36">
      <c r="AJ57" s="137"/>
    </row>
    <row r="58" spans="36:36">
      <c r="AJ58" s="134"/>
    </row>
    <row r="59" spans="36:36">
      <c r="AJ59" s="137"/>
    </row>
    <row r="60" spans="36:36">
      <c r="AJ60" s="137"/>
    </row>
    <row r="61" spans="36:36">
      <c r="AJ61" s="137"/>
    </row>
    <row r="62" spans="36:36">
      <c r="AJ62" s="137"/>
    </row>
    <row r="63" spans="36:36">
      <c r="AJ63" s="137"/>
    </row>
    <row r="64" spans="36:36">
      <c r="AJ64" s="137"/>
    </row>
    <row r="65" spans="36:36">
      <c r="AJ65" s="134"/>
    </row>
    <row r="66" spans="36:36">
      <c r="AJ66" s="134"/>
    </row>
    <row r="67" spans="36:36">
      <c r="AJ67" s="137"/>
    </row>
    <row r="68" spans="36:36">
      <c r="AJ68" s="134"/>
    </row>
    <row r="69" spans="36:36">
      <c r="AJ69" s="137"/>
    </row>
    <row r="70" spans="36:36">
      <c r="AJ70" s="137"/>
    </row>
    <row r="71" spans="36:36">
      <c r="AJ71" s="137"/>
    </row>
    <row r="72" spans="36:36">
      <c r="AJ72" s="137"/>
    </row>
    <row r="73" spans="36:36">
      <c r="AJ73" s="137"/>
    </row>
    <row r="74" spans="36:36">
      <c r="AJ74" s="137"/>
    </row>
    <row r="75" spans="36:36">
      <c r="AJ75" s="137"/>
    </row>
    <row r="76" spans="36:36">
      <c r="AJ76" s="137"/>
    </row>
    <row r="77" spans="36:36">
      <c r="AJ77" s="134"/>
    </row>
    <row r="78" spans="36:36">
      <c r="AJ78" s="137"/>
    </row>
    <row r="79" spans="36:36">
      <c r="AJ79" s="137"/>
    </row>
    <row r="80" spans="36:36">
      <c r="AJ80" s="137"/>
    </row>
    <row r="81" spans="36:36">
      <c r="AJ81" s="137"/>
    </row>
    <row r="82" spans="36:36">
      <c r="AJ82" s="137"/>
    </row>
    <row r="83" spans="36:36">
      <c r="AJ83" s="137"/>
    </row>
    <row r="84" spans="36:36">
      <c r="AJ84" s="134"/>
    </row>
    <row r="85" spans="36:36">
      <c r="AJ85" s="134"/>
    </row>
    <row r="86" spans="36:36">
      <c r="AJ86" s="137"/>
    </row>
    <row r="87" spans="36:36">
      <c r="AJ87" s="137"/>
    </row>
    <row r="88" spans="36:36">
      <c r="AJ88" s="137"/>
    </row>
    <row r="89" spans="36:36">
      <c r="AJ89" s="137"/>
    </row>
    <row r="90" spans="36:36">
      <c r="AJ90" s="137"/>
    </row>
    <row r="91" spans="36:36">
      <c r="AJ91" s="137"/>
    </row>
    <row r="92" spans="36:36">
      <c r="AJ92" s="137"/>
    </row>
    <row r="93" spans="36:36">
      <c r="AJ93" s="137"/>
    </row>
    <row r="94" spans="36:36">
      <c r="AJ94" s="137"/>
    </row>
    <row r="95" spans="36:36">
      <c r="AJ95" s="134"/>
    </row>
    <row r="96" spans="36:36">
      <c r="AJ96" s="134"/>
    </row>
    <row r="97" spans="36:36">
      <c r="AJ97" s="137"/>
    </row>
    <row r="98" spans="36:36">
      <c r="AJ98" s="137"/>
    </row>
    <row r="99" spans="36:36">
      <c r="AJ99" s="137"/>
    </row>
    <row r="100" spans="36:36">
      <c r="AJ100" s="137"/>
    </row>
    <row r="101" spans="36:36">
      <c r="AJ101" s="137"/>
    </row>
    <row r="102" spans="36:36">
      <c r="AJ102" s="137"/>
    </row>
    <row r="103" spans="36:36">
      <c r="AJ103" s="134"/>
    </row>
    <row r="104" spans="36:36">
      <c r="AJ104" s="137"/>
    </row>
    <row r="105" spans="36:36">
      <c r="AJ105" s="137"/>
    </row>
    <row r="106" spans="36:36">
      <c r="AJ106" s="137"/>
    </row>
    <row r="107" spans="36:36">
      <c r="AJ107" s="137"/>
    </row>
    <row r="108" spans="36:36">
      <c r="AJ108" s="137"/>
    </row>
    <row r="109" spans="36:36">
      <c r="AJ109" s="137"/>
    </row>
    <row r="110" spans="36:36">
      <c r="AJ110" s="134"/>
    </row>
    <row r="111" spans="36:36">
      <c r="AJ111" s="137"/>
    </row>
    <row r="112" spans="36:36">
      <c r="AJ112" s="137"/>
    </row>
    <row r="113" spans="36:36">
      <c r="AJ113" s="137"/>
    </row>
    <row r="114" spans="36:36">
      <c r="AJ114" s="137"/>
    </row>
    <row r="115" spans="36:36">
      <c r="AJ115" s="137"/>
    </row>
    <row r="116" spans="36:36">
      <c r="AJ116" s="137"/>
    </row>
    <row r="117" spans="36:36">
      <c r="AJ117" s="137"/>
    </row>
    <row r="118" spans="36:36">
      <c r="AJ118" s="137"/>
    </row>
    <row r="119" spans="36:36">
      <c r="AJ119" s="137"/>
    </row>
    <row r="120" spans="36:36">
      <c r="AJ120" s="137"/>
    </row>
    <row r="121" spans="36:36">
      <c r="AJ121" s="137"/>
    </row>
    <row r="122" spans="36:36">
      <c r="AJ122" s="137"/>
    </row>
    <row r="123" spans="36:36">
      <c r="AJ123" s="137"/>
    </row>
    <row r="124" spans="36:36">
      <c r="AJ124" s="137"/>
    </row>
    <row r="125" spans="36:36">
      <c r="AJ125" s="137"/>
    </row>
    <row r="126" spans="36:36">
      <c r="AJ126" s="137"/>
    </row>
    <row r="127" spans="36:36">
      <c r="AJ127" s="137"/>
    </row>
    <row r="128" spans="36:36">
      <c r="AJ128" s="137"/>
    </row>
    <row r="129" spans="36:36">
      <c r="AJ129" s="134"/>
    </row>
    <row r="130" spans="36:36">
      <c r="AJ130" s="137"/>
    </row>
    <row r="131" spans="36:36">
      <c r="AJ131" s="137"/>
    </row>
    <row r="132" spans="36:36">
      <c r="AJ132" s="137"/>
    </row>
    <row r="133" spans="36:36">
      <c r="AJ133" s="137"/>
    </row>
    <row r="134" spans="36:36">
      <c r="AJ134" s="137"/>
    </row>
    <row r="135" spans="36:36">
      <c r="AJ135" s="137"/>
    </row>
    <row r="136" spans="36:36">
      <c r="AJ136" s="137"/>
    </row>
    <row r="137" spans="36:36">
      <c r="AJ137" s="137"/>
    </row>
    <row r="138" spans="36:36">
      <c r="AJ138" s="137"/>
    </row>
    <row r="139" spans="36:36">
      <c r="AJ139" s="137"/>
    </row>
    <row r="140" spans="36:36">
      <c r="AJ140" s="137"/>
    </row>
    <row r="141" spans="36:36">
      <c r="AJ141" s="134"/>
    </row>
    <row r="142" spans="36:36">
      <c r="AJ142" s="137"/>
    </row>
    <row r="143" spans="36:36">
      <c r="AJ143" s="137"/>
    </row>
    <row r="144" spans="36:36">
      <c r="AJ144" s="137"/>
    </row>
    <row r="145" spans="36:36">
      <c r="AJ145" s="137"/>
    </row>
    <row r="146" spans="36:36">
      <c r="AJ146" s="137"/>
    </row>
    <row r="147" spans="36:36">
      <c r="AJ147" s="137"/>
    </row>
    <row r="148" spans="36:36">
      <c r="AJ148" s="137"/>
    </row>
    <row r="149" spans="36:36">
      <c r="AJ149" s="137"/>
    </row>
    <row r="150" spans="36:36">
      <c r="AJ150" s="134"/>
    </row>
    <row r="151" spans="36:36">
      <c r="AJ151" s="137"/>
    </row>
    <row r="152" spans="36:36">
      <c r="AJ152" s="137"/>
    </row>
    <row r="153" spans="36:36">
      <c r="AJ153" s="137"/>
    </row>
    <row r="154" spans="36:36">
      <c r="AJ154" s="137"/>
    </row>
    <row r="155" spans="36:36">
      <c r="AJ155" s="137"/>
    </row>
    <row r="156" spans="36:36">
      <c r="AJ156" s="137"/>
    </row>
    <row r="157" spans="36:36">
      <c r="AJ157" s="134"/>
    </row>
    <row r="158" spans="36:36">
      <c r="AJ158" s="137"/>
    </row>
    <row r="159" spans="36:36">
      <c r="AJ159" s="137"/>
    </row>
    <row r="160" spans="36:36">
      <c r="AJ160" s="137"/>
    </row>
    <row r="161" spans="36:36">
      <c r="AJ161" s="137"/>
    </row>
    <row r="162" spans="36:36">
      <c r="AJ162" s="137"/>
    </row>
    <row r="163" spans="36:36">
      <c r="AJ163" s="137"/>
    </row>
    <row r="164" spans="36:36">
      <c r="AJ164" s="137"/>
    </row>
    <row r="165" spans="36:36">
      <c r="AJ165" s="134"/>
    </row>
    <row r="166" spans="36:36">
      <c r="AJ166" s="137"/>
    </row>
    <row r="167" spans="36:36">
      <c r="AJ167" s="137"/>
    </row>
    <row r="168" spans="36:36">
      <c r="AJ168" s="137"/>
    </row>
    <row r="169" spans="36:36">
      <c r="AJ169" s="137"/>
    </row>
    <row r="170" spans="36:36">
      <c r="AJ170" s="137"/>
    </row>
    <row r="171" spans="36:36">
      <c r="AJ171" s="137"/>
    </row>
    <row r="172" spans="36:36">
      <c r="AJ172" s="137"/>
    </row>
    <row r="173" spans="36:36">
      <c r="AJ173" s="137"/>
    </row>
    <row r="174" spans="36:36">
      <c r="AJ174" s="137"/>
    </row>
    <row r="175" spans="36:36">
      <c r="AJ175" s="137"/>
    </row>
    <row r="176" spans="36:36">
      <c r="AJ176" s="137"/>
    </row>
    <row r="177" spans="36:36">
      <c r="AJ177" s="137"/>
    </row>
    <row r="178" spans="36:36">
      <c r="AJ178" s="137"/>
    </row>
    <row r="179" spans="36:36">
      <c r="AJ179" s="137"/>
    </row>
    <row r="180" spans="36:36">
      <c r="AJ180" s="137"/>
    </row>
    <row r="181" spans="36:36">
      <c r="AJ181" s="137"/>
    </row>
    <row r="182" spans="36:36">
      <c r="AJ182" s="137"/>
    </row>
    <row r="183" spans="36:36">
      <c r="AJ183" s="137"/>
    </row>
    <row r="184" spans="36:36">
      <c r="AJ184" s="137"/>
    </row>
    <row r="185" spans="36:36">
      <c r="AJ185" s="137"/>
    </row>
    <row r="191" spans="36:36">
      <c r="AJ191" s="137"/>
    </row>
    <row r="200" spans="36:36">
      <c r="AJ200" s="89"/>
    </row>
    <row r="201" spans="36:36">
      <c r="AJ201" s="89"/>
    </row>
  </sheetData>
  <mergeCells count="126">
    <mergeCell ref="D38:J38"/>
    <mergeCell ref="N38:T38"/>
    <mergeCell ref="X38:AF38"/>
    <mergeCell ref="A39:AI39"/>
    <mergeCell ref="A40:AI40"/>
    <mergeCell ref="D35:J35"/>
    <mergeCell ref="N35:T35"/>
    <mergeCell ref="X35:AF35"/>
    <mergeCell ref="D36:J36"/>
    <mergeCell ref="N36:T36"/>
    <mergeCell ref="X36:AF36"/>
    <mergeCell ref="A37:C37"/>
    <mergeCell ref="D37:J37"/>
    <mergeCell ref="N37:T37"/>
    <mergeCell ref="X37:AF37"/>
    <mergeCell ref="C31:AI31"/>
    <mergeCell ref="C32:AI32"/>
    <mergeCell ref="A33:C33"/>
    <mergeCell ref="D33:J33"/>
    <mergeCell ref="N33:T33"/>
    <mergeCell ref="X33:AF33"/>
    <mergeCell ref="D34:J34"/>
    <mergeCell ref="N34:T34"/>
    <mergeCell ref="X34:AF34"/>
    <mergeCell ref="P29:S29"/>
    <mergeCell ref="T29:W29"/>
    <mergeCell ref="X29:AB29"/>
    <mergeCell ref="AC29:AI29"/>
    <mergeCell ref="B29:C29"/>
    <mergeCell ref="D29:G29"/>
    <mergeCell ref="H29:K29"/>
    <mergeCell ref="L29:O29"/>
    <mergeCell ref="P30:S30"/>
    <mergeCell ref="T30:W30"/>
    <mergeCell ref="X30:AB30"/>
    <mergeCell ref="AC30:AI30"/>
    <mergeCell ref="B30:C30"/>
    <mergeCell ref="D30:G30"/>
    <mergeCell ref="H30:K30"/>
    <mergeCell ref="L30:O30"/>
    <mergeCell ref="P27:S27"/>
    <mergeCell ref="T27:W27"/>
    <mergeCell ref="X27:AB27"/>
    <mergeCell ref="AC27:AI27"/>
    <mergeCell ref="B27:C27"/>
    <mergeCell ref="D27:G27"/>
    <mergeCell ref="H27:K27"/>
    <mergeCell ref="L27:O27"/>
    <mergeCell ref="P28:S28"/>
    <mergeCell ref="T28:W28"/>
    <mergeCell ref="X28:AB28"/>
    <mergeCell ref="AC28:AI28"/>
    <mergeCell ref="B28:C28"/>
    <mergeCell ref="D28:G28"/>
    <mergeCell ref="H28:K28"/>
    <mergeCell ref="L28:O28"/>
    <mergeCell ref="A24:V24"/>
    <mergeCell ref="H25:O25"/>
    <mergeCell ref="P25:W25"/>
    <mergeCell ref="A25:A26"/>
    <mergeCell ref="B25:C26"/>
    <mergeCell ref="D25:G26"/>
    <mergeCell ref="X25:AB26"/>
    <mergeCell ref="AC25:AI26"/>
    <mergeCell ref="H26:K26"/>
    <mergeCell ref="L26:O26"/>
    <mergeCell ref="P26:S26"/>
    <mergeCell ref="T26:W26"/>
    <mergeCell ref="AH21:AI21"/>
    <mergeCell ref="E23:F23"/>
    <mergeCell ref="J23:L23"/>
    <mergeCell ref="M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D21:AE21"/>
    <mergeCell ref="AF21:AG21"/>
    <mergeCell ref="AF23:AG23"/>
    <mergeCell ref="AH23:AI23"/>
    <mergeCell ref="J21:L21"/>
    <mergeCell ref="M21:O21"/>
    <mergeCell ref="P21:Q21"/>
    <mergeCell ref="R21:S21"/>
    <mergeCell ref="T21:U21"/>
    <mergeCell ref="V21:W21"/>
    <mergeCell ref="X21:Y21"/>
    <mergeCell ref="Z21:AA21"/>
    <mergeCell ref="AB21:AC21"/>
    <mergeCell ref="AJ15:AJ20"/>
    <mergeCell ref="AK15:AK20"/>
    <mergeCell ref="P17:Q20"/>
    <mergeCell ref="R17:S20"/>
    <mergeCell ref="T17:U20"/>
    <mergeCell ref="V17:W20"/>
    <mergeCell ref="X17:Y20"/>
    <mergeCell ref="Z17:AA20"/>
    <mergeCell ref="AB17:AC20"/>
    <mergeCell ref="AH17:AI20"/>
    <mergeCell ref="A9:AI9"/>
    <mergeCell ref="A10:AI10"/>
    <mergeCell ref="A11:AI11"/>
    <mergeCell ref="A12:AI12"/>
    <mergeCell ref="A13:AI13"/>
    <mergeCell ref="A14:AI14"/>
    <mergeCell ref="P15:AI16"/>
    <mergeCell ref="A15:A20"/>
    <mergeCell ref="B15:D20"/>
    <mergeCell ref="E15:I20"/>
    <mergeCell ref="J15:L20"/>
    <mergeCell ref="AD17:AE20"/>
    <mergeCell ref="AF17:AG20"/>
    <mergeCell ref="M15:O20"/>
    <mergeCell ref="U1:AI1"/>
    <mergeCell ref="A5:AI5"/>
    <mergeCell ref="A6:AI6"/>
    <mergeCell ref="A7:AI7"/>
    <mergeCell ref="B8:C8"/>
    <mergeCell ref="F8:J8"/>
    <mergeCell ref="K8:M8"/>
    <mergeCell ref="P8:U8"/>
    <mergeCell ref="V8:W8"/>
  </mergeCells>
  <phoneticPr fontId="0" type="noConversion"/>
  <dataValidations count="1">
    <dataValidation type="list" allowBlank="1" showInputMessage="1" showErrorMessage="1" sqref="AJ1:AJ1048576">
      <formula1>'Исходник '!$G$1:$G$5</formula1>
    </dataValidation>
  </dataValidations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0"/>
  <sheetViews>
    <sheetView topLeftCell="A88" zoomScale="85" workbookViewId="0">
      <selection activeCell="Z115" sqref="Z115"/>
    </sheetView>
  </sheetViews>
  <sheetFormatPr defaultRowHeight="12.75" outlineLevelCol="1"/>
  <cols>
    <col min="1" max="1" width="4.42578125" customWidth="1"/>
    <col min="2" max="2" width="12.28515625" customWidth="1"/>
    <col min="3" max="3" width="10.140625" customWidth="1"/>
    <col min="4" max="4" width="7.5703125" customWidth="1"/>
    <col min="5" max="5" width="9.28515625" customWidth="1"/>
    <col min="6" max="6" width="8.42578125" customWidth="1"/>
    <col min="7" max="7" width="6.7109375" customWidth="1"/>
    <col min="8" max="8" width="6.28515625" customWidth="1"/>
    <col min="9" max="9" width="7.28515625" customWidth="1"/>
    <col min="10" max="11" width="6.28515625" customWidth="1"/>
    <col min="12" max="12" width="6.140625" customWidth="1"/>
    <col min="13" max="13" width="6.28515625" customWidth="1"/>
    <col min="14" max="14" width="7.85546875" customWidth="1"/>
    <col min="15" max="15" width="9.28515625" customWidth="1"/>
    <col min="16" max="16" width="6.140625" customWidth="1"/>
    <col min="17" max="17" width="3" customWidth="1"/>
    <col min="18" max="18" width="3.28515625" customWidth="1"/>
    <col min="19" max="19" width="17.42578125" customWidth="1"/>
    <col min="20" max="20" width="8.7109375" hidden="1" customWidth="1" outlineLevel="1"/>
    <col min="21" max="21" width="9" hidden="1" customWidth="1" outlineLevel="1"/>
    <col min="22" max="22" width="11.42578125" hidden="1" customWidth="1" outlineLevel="1"/>
    <col min="23" max="23" width="8.5703125" hidden="1" customWidth="1" outlineLevel="1"/>
    <col min="24" max="24" width="9.140625" collapsed="1"/>
  </cols>
  <sheetData>
    <row r="1" spans="1:34" s="6" customFormat="1" ht="21" customHeight="1">
      <c r="A1" s="70"/>
      <c r="B1" s="9" t="str">
        <f ca="1">'Исходник '!B3</f>
        <v>ООО «ТМ-Электро»</v>
      </c>
      <c r="C1" s="9"/>
      <c r="D1" s="9"/>
      <c r="E1"/>
      <c r="F1"/>
      <c r="G1"/>
      <c r="H1"/>
      <c r="I1"/>
      <c r="J1"/>
      <c r="K1" s="9" t="s">
        <v>489</v>
      </c>
      <c r="L1" s="9"/>
      <c r="M1" s="692">
        <f ca="1">'Исходник '!B19</f>
        <v>0</v>
      </c>
      <c r="N1" s="692"/>
      <c r="O1" s="692"/>
      <c r="P1" s="692"/>
      <c r="Q1" s="692"/>
      <c r="R1" s="692"/>
      <c r="S1" s="692"/>
      <c r="T1" s="138"/>
      <c r="U1" s="138"/>
      <c r="V1" s="138"/>
      <c r="W1" s="138"/>
      <c r="X1"/>
      <c r="Y1"/>
      <c r="Z1"/>
    </row>
    <row r="2" spans="1:34" s="6" customFormat="1" ht="18" customHeight="1">
      <c r="A2" s="70"/>
      <c r="B2" s="504" t="s">
        <v>632</v>
      </c>
      <c r="C2" s="516"/>
      <c r="D2" s="80"/>
      <c r="E2" s="3"/>
      <c r="F2" s="3"/>
      <c r="G2"/>
      <c r="H2"/>
      <c r="I2"/>
      <c r="J2"/>
      <c r="K2" s="9" t="s">
        <v>491</v>
      </c>
      <c r="L2" s="10"/>
      <c r="M2" s="691" t="str">
        <f ca="1">'Исходник '!B20</f>
        <v>Фитнес-клуб</v>
      </c>
      <c r="N2" s="691"/>
      <c r="O2" s="691"/>
      <c r="P2" s="691"/>
      <c r="Q2" s="691"/>
      <c r="R2" s="691"/>
      <c r="S2" s="691"/>
      <c r="T2" s="134"/>
      <c r="U2" s="134"/>
      <c r="V2" s="134"/>
      <c r="W2" s="134"/>
      <c r="X2"/>
      <c r="Y2"/>
      <c r="Z2"/>
    </row>
    <row r="3" spans="1:34" s="6" customFormat="1" ht="18.75" customHeight="1">
      <c r="A3" s="70"/>
      <c r="B3" s="6" t="str">
        <f ca="1">CONCATENATE('Исходник '!A5," ",'Исходник '!B5)</f>
        <v>Свидетельство о регистрации № 6231-2</v>
      </c>
      <c r="E3" s="70"/>
      <c r="F3" s="3"/>
      <c r="G3"/>
      <c r="H3"/>
      <c r="I3"/>
      <c r="J3"/>
      <c r="K3" s="64" t="s">
        <v>494</v>
      </c>
      <c r="L3" s="10"/>
      <c r="M3" s="551">
        <f ca="1">'Исходник '!B21</f>
        <v>0</v>
      </c>
      <c r="N3" s="551"/>
      <c r="O3" s="551"/>
      <c r="P3" s="551"/>
      <c r="Q3" s="551"/>
      <c r="R3" s="551"/>
      <c r="S3" s="551"/>
      <c r="X3"/>
      <c r="Y3"/>
      <c r="Z3"/>
    </row>
    <row r="4" spans="1:34" s="6" customFormat="1" ht="18" customHeight="1">
      <c r="A4" s="70"/>
      <c r="B4" s="6" t="str">
        <f ca="1">CONCATENATE('Исходник '!A7," ",'Исходник '!B7)</f>
        <v xml:space="preserve">Действительно до «11» января 2022 г. </v>
      </c>
      <c r="E4" s="5"/>
      <c r="F4" s="5"/>
      <c r="G4"/>
      <c r="H4"/>
      <c r="I4"/>
      <c r="J4"/>
      <c r="K4" s="9" t="s">
        <v>633</v>
      </c>
      <c r="L4"/>
      <c r="M4" s="10"/>
      <c r="N4"/>
      <c r="O4" s="5"/>
      <c r="P4" s="691" t="str">
        <f ca="1">'Исходник '!B34</f>
        <v>29 января 2020г.</v>
      </c>
      <c r="Q4" s="691"/>
      <c r="R4" s="691"/>
      <c r="S4" s="691"/>
      <c r="X4"/>
    </row>
    <row r="5" spans="1:34" ht="20.25" customHeight="1">
      <c r="A5" s="651" t="str">
        <f ca="1">CONCATENATE('Исходник '!A16," ",'Исходник '!D15)</f>
        <v>Протокол  №505-4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</row>
    <row r="6" spans="1:34" ht="14.1" customHeight="1">
      <c r="A6" s="660" t="s">
        <v>921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</row>
    <row r="7" spans="1:34" ht="19.5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</row>
    <row r="8" spans="1:34" ht="18" customHeight="1">
      <c r="A8" s="7"/>
      <c r="B8" s="653" t="str">
        <f ca="1">'Исходник '!A36</f>
        <v>Температура воздуха:</v>
      </c>
      <c r="C8" s="653"/>
      <c r="D8" s="72">
        <f ca="1">'Исходник '!B36</f>
        <v>21</v>
      </c>
      <c r="E8" s="7" t="s">
        <v>855</v>
      </c>
      <c r="F8" s="653" t="str">
        <f ca="1">'Исходник '!A37</f>
        <v>Влажность воздуха:</v>
      </c>
      <c r="G8" s="653"/>
      <c r="H8" s="653"/>
      <c r="I8" s="72">
        <f ca="1">'Исходник '!B37</f>
        <v>58</v>
      </c>
      <c r="J8" s="12" t="s">
        <v>856</v>
      </c>
      <c r="K8" s="7" t="str">
        <f ca="1">'Исходник '!A38</f>
        <v>Атмосферное давление:</v>
      </c>
      <c r="O8" s="652">
        <f ca="1">'Исходник '!B38</f>
        <v>741</v>
      </c>
      <c r="P8" s="652"/>
      <c r="Q8" s="7" t="s">
        <v>525</v>
      </c>
      <c r="AH8" s="6"/>
    </row>
    <row r="9" spans="1:34" ht="14.1" customHeight="1">
      <c r="A9" s="651" t="s">
        <v>922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</row>
    <row r="10" spans="1:34" ht="14.1" customHeight="1">
      <c r="A10" s="508" t="str">
        <f ca="1">'Исходник '!B23</f>
        <v>эксплуатационные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</row>
    <row r="11" spans="1:34" s="281" customFormat="1" ht="14.1" customHeight="1">
      <c r="A11" s="606" t="s">
        <v>923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</row>
    <row r="12" spans="1:34" ht="14.1" customHeight="1">
      <c r="A12" s="651" t="s">
        <v>924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</row>
    <row r="13" spans="1:34" s="171" customFormat="1" ht="14.1" customHeight="1">
      <c r="A13" s="509" t="s">
        <v>925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</row>
    <row r="14" spans="1:34" ht="14.1" customHeight="1">
      <c r="A14" s="696" t="s">
        <v>926</v>
      </c>
      <c r="B14" s="696"/>
      <c r="C14" s="696"/>
      <c r="D14" s="696"/>
      <c r="E14" s="696"/>
      <c r="F14" s="696"/>
      <c r="G14" s="696"/>
    </row>
    <row r="15" spans="1:34" ht="64.5" customHeight="1">
      <c r="A15" s="693" t="s">
        <v>540</v>
      </c>
      <c r="B15" s="665" t="s">
        <v>927</v>
      </c>
      <c r="C15" s="666"/>
      <c r="D15" s="667"/>
      <c r="E15" s="545" t="s">
        <v>928</v>
      </c>
      <c r="F15" s="546"/>
      <c r="G15" s="547"/>
      <c r="H15" s="545" t="s">
        <v>929</v>
      </c>
      <c r="I15" s="546"/>
      <c r="J15" s="547"/>
      <c r="K15" s="545" t="s">
        <v>930</v>
      </c>
      <c r="L15" s="546"/>
      <c r="M15" s="547"/>
      <c r="N15" s="545" t="s">
        <v>931</v>
      </c>
      <c r="O15" s="546"/>
      <c r="P15" s="546"/>
      <c r="Q15" s="546"/>
      <c r="R15" s="547"/>
      <c r="S15" s="693" t="s">
        <v>932</v>
      </c>
      <c r="T15" s="662" t="s">
        <v>865</v>
      </c>
      <c r="U15" s="662" t="s">
        <v>933</v>
      </c>
      <c r="V15" s="662" t="s">
        <v>934</v>
      </c>
      <c r="W15" s="662" t="s">
        <v>935</v>
      </c>
    </row>
    <row r="16" spans="1:34" ht="32.25" customHeight="1">
      <c r="A16" s="694"/>
      <c r="B16" s="668"/>
      <c r="C16" s="669"/>
      <c r="D16" s="670"/>
      <c r="E16" s="693" t="s">
        <v>936</v>
      </c>
      <c r="F16" s="693" t="s">
        <v>937</v>
      </c>
      <c r="G16" s="693" t="s">
        <v>938</v>
      </c>
      <c r="H16" s="693" t="s">
        <v>448</v>
      </c>
      <c r="I16" s="693" t="s">
        <v>441</v>
      </c>
      <c r="J16" s="693" t="s">
        <v>449</v>
      </c>
      <c r="K16" s="693" t="s">
        <v>448</v>
      </c>
      <c r="L16" s="693" t="s">
        <v>441</v>
      </c>
      <c r="M16" s="693" t="s">
        <v>449</v>
      </c>
      <c r="N16" s="545" t="s">
        <v>939</v>
      </c>
      <c r="O16" s="547"/>
      <c r="P16" s="545" t="s">
        <v>940</v>
      </c>
      <c r="Q16" s="546"/>
      <c r="R16" s="547"/>
      <c r="S16" s="694"/>
      <c r="T16" s="701"/>
      <c r="U16" s="701"/>
      <c r="V16" s="701"/>
      <c r="W16" s="697"/>
    </row>
    <row r="17" spans="1:23" ht="77.25" customHeight="1">
      <c r="A17" s="695"/>
      <c r="B17" s="562"/>
      <c r="C17" s="563"/>
      <c r="D17" s="564"/>
      <c r="E17" s="695"/>
      <c r="F17" s="695"/>
      <c r="G17" s="695"/>
      <c r="H17" s="695"/>
      <c r="I17" s="695"/>
      <c r="J17" s="695"/>
      <c r="K17" s="695"/>
      <c r="L17" s="695"/>
      <c r="M17" s="695"/>
      <c r="N17" s="135" t="s">
        <v>941</v>
      </c>
      <c r="O17" s="135" t="s">
        <v>942</v>
      </c>
      <c r="P17" s="135" t="s">
        <v>941</v>
      </c>
      <c r="Q17" s="545" t="s">
        <v>942</v>
      </c>
      <c r="R17" s="547"/>
      <c r="S17" s="695"/>
      <c r="T17" s="702"/>
      <c r="U17" s="702"/>
      <c r="V17" s="702"/>
      <c r="W17" s="698"/>
    </row>
    <row r="18" spans="1:23" s="16" customFormat="1" ht="20.100000000000001" customHeight="1">
      <c r="A18" s="155">
        <v>1</v>
      </c>
      <c r="B18" s="81">
        <v>2</v>
      </c>
      <c r="C18" s="81"/>
      <c r="D18" s="81"/>
      <c r="E18" s="155">
        <v>3</v>
      </c>
      <c r="F18" s="155">
        <v>4</v>
      </c>
      <c r="G18" s="155">
        <v>5</v>
      </c>
      <c r="H18" s="155">
        <v>6</v>
      </c>
      <c r="I18" s="155">
        <v>7</v>
      </c>
      <c r="J18" s="155">
        <v>8</v>
      </c>
      <c r="K18" s="155">
        <v>9</v>
      </c>
      <c r="L18" s="155">
        <v>10</v>
      </c>
      <c r="M18" s="155">
        <v>11</v>
      </c>
      <c r="N18" s="155">
        <v>12</v>
      </c>
      <c r="O18" s="155">
        <v>13</v>
      </c>
      <c r="P18" s="155">
        <v>14</v>
      </c>
      <c r="Q18" s="703">
        <v>15</v>
      </c>
      <c r="R18" s="704"/>
      <c r="S18" s="155">
        <v>16</v>
      </c>
      <c r="T18" s="158"/>
      <c r="U18" s="158"/>
      <c r="V18" s="158"/>
      <c r="W18" s="158"/>
    </row>
    <row r="19" spans="1:23" s="138" customFormat="1" ht="20.100000000000001" customHeight="1">
      <c r="A19" s="73" t="str">
        <f ca="1">'Протокол №505-3'!A22</f>
        <v>пом. №220</v>
      </c>
      <c r="B19" s="74"/>
      <c r="C19" s="74"/>
      <c r="D19" s="74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0"/>
      <c r="T19" s="161"/>
      <c r="U19" s="161"/>
      <c r="V19" s="161"/>
      <c r="W19" s="161"/>
    </row>
    <row r="20" spans="1:23" s="138" customFormat="1" ht="20.100000000000001" customHeight="1">
      <c r="A20" s="73" t="str">
        <f ca="1">'Протокол №505-3'!A23</f>
        <v>ЩС-1</v>
      </c>
      <c r="B20" s="74"/>
      <c r="C20" s="74"/>
      <c r="D20" s="74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0"/>
      <c r="T20" s="161"/>
      <c r="U20" s="161"/>
      <c r="V20" s="161">
        <v>390</v>
      </c>
      <c r="W20" s="161"/>
    </row>
    <row r="21" spans="1:23" s="341" customFormat="1" ht="32.25" customHeight="1">
      <c r="A21" s="135">
        <v>1</v>
      </c>
      <c r="B21" s="146" t="s">
        <v>877</v>
      </c>
      <c r="C21" s="403" t="s">
        <v>878</v>
      </c>
      <c r="D21" s="162" t="str">
        <f t="shared" ref="D21:D28" si="0">IF(T21="АВС","~380В","~220В")</f>
        <v>~220В</v>
      </c>
      <c r="E21" s="163" t="s">
        <v>943</v>
      </c>
      <c r="F21" s="135">
        <f t="shared" ref="F21:F28" si="1">U21</f>
        <v>16</v>
      </c>
      <c r="G21" s="135">
        <f t="shared" ref="G21:G28" si="2">IF(T21="ПН-2",U21,IF(W21="в",F21*5,IF(W21="С",F21*10,IF(W21="d",F21*20,F21))))</f>
        <v>160</v>
      </c>
      <c r="H21" s="164">
        <f t="shared" ref="H21:H28" si="3">IF(OR(T21="В",T21="С"),"-",220/K21)</f>
        <v>0.59459459459459463</v>
      </c>
      <c r="I21" s="164" t="str">
        <f t="shared" ref="I21:I28" si="4">IF(OR(T21="А",T21="С"),"-",220/L21)</f>
        <v>-</v>
      </c>
      <c r="J21" s="164" t="str">
        <f t="shared" ref="J21:J28" si="5">IF(OR(T21="А",T21="В"),"-",220/M21)</f>
        <v>-</v>
      </c>
      <c r="K21" s="135">
        <f t="shared" ref="K21:K28" si="6">IF(OR(T21="В",T21="С"),"-",TRUNC(ROUND(V21-0.03*V21,0)/10,0)*10)</f>
        <v>370</v>
      </c>
      <c r="L21" s="135" t="str">
        <f t="shared" ref="L21:L28" si="7">IF(OR(T21="А",T21="С"),"-",TRUNC(ROUND(V21+0.03*V21,0)/10,0)*10)</f>
        <v>-</v>
      </c>
      <c r="M21" s="135" t="str">
        <f t="shared" ref="M21:M28" si="8">IF(OR(T21="А",T21="В"),"-",TRUNC(V21/10,0)*10)</f>
        <v>-</v>
      </c>
      <c r="N21" s="135">
        <v>3</v>
      </c>
      <c r="O21" s="135">
        <v>1.1000000000000001</v>
      </c>
      <c r="P21" s="165">
        <f t="shared" ref="P21:P28" si="9">IF(OR(T21="АВС",T21="А"),K21/F21,IF(T21="В",L21/F21,IF(T21="С",M21/F21,K21/G21)))</f>
        <v>23.125</v>
      </c>
      <c r="Q21" s="699">
        <f t="shared" ref="Q21:Q28" si="10">IF(OR(T21="АВС",T21="А"),ROUNDDOWN(K21/G21,1),IF(T21="В",ROUNDDOWN(L21/G21,1),IF(T21="С",ROUNDDOWN(M21/G21,1),"-")))</f>
        <v>2.2999999999999998</v>
      </c>
      <c r="R21" s="700"/>
      <c r="S21" s="166" t="str">
        <f t="shared" ref="S21:S28" si="11">IF(OR(Q21&lt;O21,P21&lt;N21),"Не соответствует ПТЭЭП","Соответствует ПТЭЭП")</f>
        <v>Соответствует ПТЭЭП</v>
      </c>
      <c r="T21" s="417" t="s">
        <v>448</v>
      </c>
      <c r="U21" s="167">
        <v>16</v>
      </c>
      <c r="V21" s="168">
        <v>385</v>
      </c>
      <c r="W21" s="169" t="s">
        <v>449</v>
      </c>
    </row>
    <row r="22" spans="1:23" s="341" customFormat="1" ht="32.25" customHeight="1">
      <c r="A22" s="135">
        <v>1</v>
      </c>
      <c r="B22" s="146" t="s">
        <v>877</v>
      </c>
      <c r="C22" s="403" t="s">
        <v>881</v>
      </c>
      <c r="D22" s="162" t="str">
        <f t="shared" si="0"/>
        <v>~220В</v>
      </c>
      <c r="E22" s="163" t="s">
        <v>943</v>
      </c>
      <c r="F22" s="135">
        <f t="shared" si="1"/>
        <v>16</v>
      </c>
      <c r="G22" s="135">
        <f t="shared" si="2"/>
        <v>160</v>
      </c>
      <c r="H22" s="164" t="str">
        <f t="shared" si="3"/>
        <v>-</v>
      </c>
      <c r="I22" s="164">
        <f t="shared" si="4"/>
        <v>0.5641025641025641</v>
      </c>
      <c r="J22" s="164" t="str">
        <f t="shared" si="5"/>
        <v>-</v>
      </c>
      <c r="K22" s="135" t="str">
        <f t="shared" si="6"/>
        <v>-</v>
      </c>
      <c r="L22" s="135">
        <f t="shared" si="7"/>
        <v>390</v>
      </c>
      <c r="M22" s="135" t="str">
        <f t="shared" si="8"/>
        <v>-</v>
      </c>
      <c r="N22" s="135">
        <v>3</v>
      </c>
      <c r="O22" s="135">
        <v>1.1000000000000001</v>
      </c>
      <c r="P22" s="165">
        <f t="shared" si="9"/>
        <v>24.375</v>
      </c>
      <c r="Q22" s="699">
        <f t="shared" si="10"/>
        <v>2.4</v>
      </c>
      <c r="R22" s="700"/>
      <c r="S22" s="166" t="str">
        <f t="shared" si="11"/>
        <v>Соответствует ПТЭЭП</v>
      </c>
      <c r="T22" s="149" t="s">
        <v>441</v>
      </c>
      <c r="U22" s="167">
        <v>16</v>
      </c>
      <c r="V22" s="168">
        <v>380</v>
      </c>
      <c r="W22" s="169" t="s">
        <v>449</v>
      </c>
    </row>
    <row r="23" spans="1:23" s="341" customFormat="1" ht="32.25" customHeight="1">
      <c r="A23" s="135">
        <v>1</v>
      </c>
      <c r="B23" s="146" t="s">
        <v>877</v>
      </c>
      <c r="C23" s="403" t="s">
        <v>882</v>
      </c>
      <c r="D23" s="162" t="str">
        <f t="shared" si="0"/>
        <v>~220В</v>
      </c>
      <c r="E23" s="163" t="s">
        <v>943</v>
      </c>
      <c r="F23" s="135">
        <f t="shared" si="1"/>
        <v>16</v>
      </c>
      <c r="G23" s="135">
        <f t="shared" si="2"/>
        <v>160</v>
      </c>
      <c r="H23" s="164" t="str">
        <f t="shared" si="3"/>
        <v>-</v>
      </c>
      <c r="I23" s="164" t="str">
        <f t="shared" si="4"/>
        <v>-</v>
      </c>
      <c r="J23" s="164">
        <f t="shared" si="5"/>
        <v>0.59459459459459463</v>
      </c>
      <c r="K23" s="135" t="str">
        <f t="shared" si="6"/>
        <v>-</v>
      </c>
      <c r="L23" s="135" t="str">
        <f t="shared" si="7"/>
        <v>-</v>
      </c>
      <c r="M23" s="135">
        <f t="shared" si="8"/>
        <v>370</v>
      </c>
      <c r="N23" s="135">
        <v>3</v>
      </c>
      <c r="O23" s="135">
        <v>1.1000000000000001</v>
      </c>
      <c r="P23" s="165">
        <f t="shared" si="9"/>
        <v>23.125</v>
      </c>
      <c r="Q23" s="699">
        <f t="shared" si="10"/>
        <v>2.2999999999999998</v>
      </c>
      <c r="R23" s="700"/>
      <c r="S23" s="166" t="str">
        <f t="shared" si="11"/>
        <v>Соответствует ПТЭЭП</v>
      </c>
      <c r="T23" s="149" t="s">
        <v>449</v>
      </c>
      <c r="U23" s="167">
        <v>16</v>
      </c>
      <c r="V23" s="168">
        <v>375</v>
      </c>
      <c r="W23" s="169" t="s">
        <v>449</v>
      </c>
    </row>
    <row r="24" spans="1:23" s="341" customFormat="1" ht="32.25" customHeight="1">
      <c r="A24" s="135">
        <v>1</v>
      </c>
      <c r="B24" s="146" t="s">
        <v>877</v>
      </c>
      <c r="C24" s="403" t="s">
        <v>883</v>
      </c>
      <c r="D24" s="162" t="str">
        <f t="shared" si="0"/>
        <v>~220В</v>
      </c>
      <c r="E24" s="163" t="s">
        <v>943</v>
      </c>
      <c r="F24" s="135">
        <f t="shared" si="1"/>
        <v>16</v>
      </c>
      <c r="G24" s="135">
        <f t="shared" si="2"/>
        <v>160</v>
      </c>
      <c r="H24" s="164">
        <f t="shared" si="3"/>
        <v>0.61111111111111116</v>
      </c>
      <c r="I24" s="164" t="str">
        <f t="shared" si="4"/>
        <v>-</v>
      </c>
      <c r="J24" s="164" t="str">
        <f t="shared" si="5"/>
        <v>-</v>
      </c>
      <c r="K24" s="135">
        <f t="shared" si="6"/>
        <v>360</v>
      </c>
      <c r="L24" s="135" t="str">
        <f t="shared" si="7"/>
        <v>-</v>
      </c>
      <c r="M24" s="135" t="str">
        <f t="shared" si="8"/>
        <v>-</v>
      </c>
      <c r="N24" s="135">
        <v>3</v>
      </c>
      <c r="O24" s="135">
        <v>1.1000000000000001</v>
      </c>
      <c r="P24" s="165">
        <f t="shared" si="9"/>
        <v>22.5</v>
      </c>
      <c r="Q24" s="699">
        <f t="shared" si="10"/>
        <v>2.2000000000000002</v>
      </c>
      <c r="R24" s="700"/>
      <c r="S24" s="166" t="str">
        <f t="shared" si="11"/>
        <v>Соответствует ПТЭЭП</v>
      </c>
      <c r="T24" s="149" t="s">
        <v>448</v>
      </c>
      <c r="U24" s="167">
        <v>16</v>
      </c>
      <c r="V24" s="168">
        <v>380</v>
      </c>
      <c r="W24" s="169" t="s">
        <v>449</v>
      </c>
    </row>
    <row r="25" spans="1:23" s="341" customFormat="1" ht="32.25" customHeight="1">
      <c r="A25" s="135">
        <v>1</v>
      </c>
      <c r="B25" s="146" t="s">
        <v>877</v>
      </c>
      <c r="C25" s="403" t="s">
        <v>884</v>
      </c>
      <c r="D25" s="162" t="str">
        <f t="shared" si="0"/>
        <v>~220В</v>
      </c>
      <c r="E25" s="163" t="s">
        <v>943</v>
      </c>
      <c r="F25" s="135">
        <f t="shared" si="1"/>
        <v>16</v>
      </c>
      <c r="G25" s="135">
        <f t="shared" si="2"/>
        <v>160</v>
      </c>
      <c r="H25" s="164" t="str">
        <f t="shared" si="3"/>
        <v>-</v>
      </c>
      <c r="I25" s="164">
        <f t="shared" si="4"/>
        <v>0.59459459459459463</v>
      </c>
      <c r="J25" s="164" t="str">
        <f t="shared" si="5"/>
        <v>-</v>
      </c>
      <c r="K25" s="135" t="str">
        <f t="shared" si="6"/>
        <v>-</v>
      </c>
      <c r="L25" s="135">
        <f t="shared" si="7"/>
        <v>370</v>
      </c>
      <c r="M25" s="135" t="str">
        <f t="shared" si="8"/>
        <v>-</v>
      </c>
      <c r="N25" s="135">
        <v>3</v>
      </c>
      <c r="O25" s="135">
        <v>1.1000000000000001</v>
      </c>
      <c r="P25" s="165">
        <f t="shared" si="9"/>
        <v>23.125</v>
      </c>
      <c r="Q25" s="699">
        <f t="shared" si="10"/>
        <v>2.2999999999999998</v>
      </c>
      <c r="R25" s="700"/>
      <c r="S25" s="166" t="str">
        <f t="shared" si="11"/>
        <v>Соответствует ПТЭЭП</v>
      </c>
      <c r="T25" s="149" t="s">
        <v>441</v>
      </c>
      <c r="U25" s="167">
        <v>16</v>
      </c>
      <c r="V25" s="168">
        <v>360</v>
      </c>
      <c r="W25" s="169" t="s">
        <v>449</v>
      </c>
    </row>
    <row r="26" spans="1:23" s="341" customFormat="1" ht="32.25" customHeight="1">
      <c r="A26" s="135">
        <v>1</v>
      </c>
      <c r="B26" s="146" t="s">
        <v>877</v>
      </c>
      <c r="C26" s="403" t="s">
        <v>885</v>
      </c>
      <c r="D26" s="162" t="str">
        <f t="shared" si="0"/>
        <v>~220В</v>
      </c>
      <c r="E26" s="163" t="s">
        <v>943</v>
      </c>
      <c r="F26" s="135">
        <f t="shared" si="1"/>
        <v>16</v>
      </c>
      <c r="G26" s="135">
        <f t="shared" si="2"/>
        <v>160</v>
      </c>
      <c r="H26" s="164" t="str">
        <f t="shared" si="3"/>
        <v>-</v>
      </c>
      <c r="I26" s="164" t="str">
        <f t="shared" si="4"/>
        <v>-</v>
      </c>
      <c r="J26" s="164">
        <f t="shared" si="5"/>
        <v>0.6875</v>
      </c>
      <c r="K26" s="135" t="str">
        <f t="shared" si="6"/>
        <v>-</v>
      </c>
      <c r="L26" s="135" t="str">
        <f t="shared" si="7"/>
        <v>-</v>
      </c>
      <c r="M26" s="135">
        <f t="shared" si="8"/>
        <v>320</v>
      </c>
      <c r="N26" s="135">
        <v>3</v>
      </c>
      <c r="O26" s="135">
        <v>1.1000000000000001</v>
      </c>
      <c r="P26" s="165">
        <f t="shared" si="9"/>
        <v>20</v>
      </c>
      <c r="Q26" s="699">
        <f t="shared" si="10"/>
        <v>2</v>
      </c>
      <c r="R26" s="700"/>
      <c r="S26" s="166" t="str">
        <f t="shared" si="11"/>
        <v>Соответствует ПТЭЭП</v>
      </c>
      <c r="T26" s="149" t="s">
        <v>449</v>
      </c>
      <c r="U26" s="167">
        <v>16</v>
      </c>
      <c r="V26" s="168">
        <v>320</v>
      </c>
      <c r="W26" s="169" t="s">
        <v>449</v>
      </c>
    </row>
    <row r="27" spans="1:23" s="341" customFormat="1" ht="32.25" customHeight="1">
      <c r="A27" s="135">
        <v>1</v>
      </c>
      <c r="B27" s="146" t="s">
        <v>877</v>
      </c>
      <c r="C27" s="403" t="s">
        <v>886</v>
      </c>
      <c r="D27" s="162" t="str">
        <f t="shared" si="0"/>
        <v>~220В</v>
      </c>
      <c r="E27" s="163" t="s">
        <v>943</v>
      </c>
      <c r="F27" s="135">
        <f t="shared" si="1"/>
        <v>16</v>
      </c>
      <c r="G27" s="135">
        <f t="shared" si="2"/>
        <v>160</v>
      </c>
      <c r="H27" s="164">
        <f t="shared" si="3"/>
        <v>0.75862068965517238</v>
      </c>
      <c r="I27" s="164" t="str">
        <f t="shared" si="4"/>
        <v>-</v>
      </c>
      <c r="J27" s="164" t="str">
        <f t="shared" si="5"/>
        <v>-</v>
      </c>
      <c r="K27" s="135">
        <f t="shared" si="6"/>
        <v>290</v>
      </c>
      <c r="L27" s="135" t="str">
        <f t="shared" si="7"/>
        <v>-</v>
      </c>
      <c r="M27" s="135" t="str">
        <f t="shared" si="8"/>
        <v>-</v>
      </c>
      <c r="N27" s="135">
        <v>3</v>
      </c>
      <c r="O27" s="135">
        <v>1.1000000000000001</v>
      </c>
      <c r="P27" s="165">
        <f t="shared" si="9"/>
        <v>18.125</v>
      </c>
      <c r="Q27" s="699">
        <f t="shared" si="10"/>
        <v>1.8</v>
      </c>
      <c r="R27" s="700"/>
      <c r="S27" s="166" t="str">
        <f t="shared" si="11"/>
        <v>Соответствует ПТЭЭП</v>
      </c>
      <c r="T27" s="149" t="s">
        <v>448</v>
      </c>
      <c r="U27" s="167">
        <v>16</v>
      </c>
      <c r="V27" s="168">
        <v>300</v>
      </c>
      <c r="W27" s="169" t="s">
        <v>449</v>
      </c>
    </row>
    <row r="28" spans="1:23" s="341" customFormat="1" ht="32.25" customHeight="1">
      <c r="A28" s="135">
        <v>1</v>
      </c>
      <c r="B28" s="146" t="s">
        <v>877</v>
      </c>
      <c r="C28" s="403" t="s">
        <v>887</v>
      </c>
      <c r="D28" s="162" t="str">
        <f t="shared" si="0"/>
        <v>~220В</v>
      </c>
      <c r="E28" s="163" t="s">
        <v>943</v>
      </c>
      <c r="F28" s="135">
        <f t="shared" si="1"/>
        <v>16</v>
      </c>
      <c r="G28" s="135">
        <f t="shared" si="2"/>
        <v>160</v>
      </c>
      <c r="H28" s="164" t="str">
        <f t="shared" si="3"/>
        <v>-</v>
      </c>
      <c r="I28" s="164">
        <f t="shared" si="4"/>
        <v>0.75862068965517238</v>
      </c>
      <c r="J28" s="164" t="str">
        <f t="shared" si="5"/>
        <v>-</v>
      </c>
      <c r="K28" s="135" t="str">
        <f t="shared" si="6"/>
        <v>-</v>
      </c>
      <c r="L28" s="135">
        <f t="shared" si="7"/>
        <v>290</v>
      </c>
      <c r="M28" s="135" t="str">
        <f t="shared" si="8"/>
        <v>-</v>
      </c>
      <c r="N28" s="135">
        <v>3</v>
      </c>
      <c r="O28" s="135">
        <v>1.1000000000000001</v>
      </c>
      <c r="P28" s="165">
        <f t="shared" si="9"/>
        <v>18.125</v>
      </c>
      <c r="Q28" s="699">
        <f t="shared" si="10"/>
        <v>1.8</v>
      </c>
      <c r="R28" s="700"/>
      <c r="S28" s="166" t="str">
        <f t="shared" si="11"/>
        <v>Соответствует ПТЭЭП</v>
      </c>
      <c r="T28" s="149" t="s">
        <v>441</v>
      </c>
      <c r="U28" s="167">
        <v>16</v>
      </c>
      <c r="V28" s="168">
        <v>290</v>
      </c>
      <c r="W28" s="169" t="s">
        <v>449</v>
      </c>
    </row>
    <row r="29" spans="1:23" s="341" customFormat="1" ht="20.100000000000001" customHeight="1">
      <c r="A29" s="73" t="str">
        <f ca="1">'Протокол №505-3'!A32</f>
        <v>ЩО-1</v>
      </c>
      <c r="B29" s="74"/>
      <c r="C29" s="74"/>
      <c r="D29" s="74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136"/>
      <c r="U29" s="167"/>
      <c r="V29" s="168">
        <v>320</v>
      </c>
      <c r="W29" s="169"/>
    </row>
    <row r="30" spans="1:23" s="341" customFormat="1" ht="32.25" customHeight="1">
      <c r="A30" s="135">
        <v>9</v>
      </c>
      <c r="B30" s="146" t="s">
        <v>877</v>
      </c>
      <c r="C30" s="403" t="s">
        <v>888</v>
      </c>
      <c r="D30" s="162" t="str">
        <f t="shared" ref="D30:D36" si="12">IF(T30="АВС","~380В","~220В")</f>
        <v>~220В</v>
      </c>
      <c r="E30" s="163" t="s">
        <v>944</v>
      </c>
      <c r="F30" s="135">
        <f t="shared" ref="F30:F36" si="13">U30</f>
        <v>10</v>
      </c>
      <c r="G30" s="135">
        <f t="shared" ref="G30:G36" si="14">IF(T30="ПН-2",U30,IF(W30="в",F30*5,IF(W30="С",F30*10,IF(W30="d",F30*20,F30))))</f>
        <v>100</v>
      </c>
      <c r="H30" s="164">
        <f t="shared" ref="H30:H36" si="15">IF(OR(T30="В",T30="С"),"-",220/K30)</f>
        <v>0.7857142857142857</v>
      </c>
      <c r="I30" s="164" t="str">
        <f t="shared" ref="I30:I36" si="16">IF(OR(T30="А",T30="С"),"-",220/L30)</f>
        <v>-</v>
      </c>
      <c r="J30" s="164" t="str">
        <f t="shared" ref="J30:J36" si="17">IF(OR(T30="А",T30="В"),"-",220/M30)</f>
        <v>-</v>
      </c>
      <c r="K30" s="135">
        <f t="shared" ref="K30:K36" si="18">IF(OR(T30="В",T30="С"),"-",TRUNC(ROUND(V30-0.03*V30,0)/10,0)*10)</f>
        <v>280</v>
      </c>
      <c r="L30" s="135" t="str">
        <f t="shared" ref="L30:L36" si="19">IF(OR(T30="А",T30="С"),"-",TRUNC(ROUND(V30+0.03*V30,0)/10,0)*10)</f>
        <v>-</v>
      </c>
      <c r="M30" s="135" t="str">
        <f t="shared" ref="M30:M36" si="20">IF(OR(T30="А",T30="В"),"-",TRUNC(V30/10,0)*10)</f>
        <v>-</v>
      </c>
      <c r="N30" s="135">
        <v>3</v>
      </c>
      <c r="O30" s="135">
        <v>1.1000000000000001</v>
      </c>
      <c r="P30" s="165">
        <f t="shared" ref="P30:P36" si="21">IF(OR(T30="АВС",T30="А"),K30/F30,IF(T30="В",L30/F30,IF(T30="С",M30/F30,K30/G30)))</f>
        <v>28</v>
      </c>
      <c r="Q30" s="699">
        <f t="shared" ref="Q30:Q36" si="22">IF(OR(T30="АВС",T30="А"),ROUNDDOWN(K30/G30,1),IF(T30="В",ROUNDDOWN(L30/G30,1),IF(T30="С",ROUNDDOWN(M30/G30,1),"-")))</f>
        <v>2.8</v>
      </c>
      <c r="R30" s="700"/>
      <c r="S30" s="166" t="str">
        <f t="shared" ref="S30:S36" si="23">IF(OR(Q30&lt;O30,P30&lt;N30),"Не соответствует ПТЭЭП","Соответствует ПТЭЭП")</f>
        <v>Соответствует ПТЭЭП</v>
      </c>
      <c r="T30" s="149" t="s">
        <v>448</v>
      </c>
      <c r="U30" s="167">
        <v>10</v>
      </c>
      <c r="V30" s="168">
        <v>290</v>
      </c>
      <c r="W30" s="169" t="s">
        <v>449</v>
      </c>
    </row>
    <row r="31" spans="1:23" s="341" customFormat="1" ht="32.25" customHeight="1">
      <c r="A31" s="135">
        <f t="shared" ref="A31:A36" si="24">A30+1</f>
        <v>10</v>
      </c>
      <c r="B31" s="435" t="s">
        <v>889</v>
      </c>
      <c r="C31" s="674" t="s">
        <v>890</v>
      </c>
      <c r="D31" s="162" t="str">
        <f t="shared" si="12"/>
        <v>~220В</v>
      </c>
      <c r="E31" s="163" t="s">
        <v>944</v>
      </c>
      <c r="F31" s="135">
        <f t="shared" si="13"/>
        <v>10</v>
      </c>
      <c r="G31" s="135">
        <f t="shared" si="14"/>
        <v>100</v>
      </c>
      <c r="H31" s="164" t="str">
        <f t="shared" si="15"/>
        <v>-</v>
      </c>
      <c r="I31" s="164">
        <f t="shared" si="16"/>
        <v>0.73333333333333328</v>
      </c>
      <c r="J31" s="164" t="str">
        <f t="shared" si="17"/>
        <v>-</v>
      </c>
      <c r="K31" s="135" t="str">
        <f t="shared" si="18"/>
        <v>-</v>
      </c>
      <c r="L31" s="135">
        <f t="shared" si="19"/>
        <v>300</v>
      </c>
      <c r="M31" s="135" t="str">
        <f t="shared" si="20"/>
        <v>-</v>
      </c>
      <c r="N31" s="135">
        <v>3</v>
      </c>
      <c r="O31" s="135">
        <v>1.1000000000000001</v>
      </c>
      <c r="P31" s="165">
        <f t="shared" si="21"/>
        <v>30</v>
      </c>
      <c r="Q31" s="699">
        <f t="shared" si="22"/>
        <v>3</v>
      </c>
      <c r="R31" s="700"/>
      <c r="S31" s="166" t="str">
        <f t="shared" si="23"/>
        <v>Соответствует ПТЭЭП</v>
      </c>
      <c r="T31" s="149" t="s">
        <v>441</v>
      </c>
      <c r="U31" s="167">
        <v>10</v>
      </c>
      <c r="V31" s="168">
        <v>300</v>
      </c>
      <c r="W31" s="169" t="s">
        <v>449</v>
      </c>
    </row>
    <row r="32" spans="1:23" s="341" customFormat="1" ht="32.25" customHeight="1">
      <c r="A32" s="135">
        <f t="shared" si="24"/>
        <v>11</v>
      </c>
      <c r="B32" s="435" t="s">
        <v>891</v>
      </c>
      <c r="C32" s="675"/>
      <c r="D32" s="162" t="str">
        <f t="shared" si="12"/>
        <v>~220В</v>
      </c>
      <c r="E32" s="163" t="s">
        <v>944</v>
      </c>
      <c r="F32" s="135">
        <f t="shared" si="13"/>
        <v>10</v>
      </c>
      <c r="G32" s="135">
        <f t="shared" si="14"/>
        <v>100</v>
      </c>
      <c r="H32" s="164" t="str">
        <f t="shared" si="15"/>
        <v>-</v>
      </c>
      <c r="I32" s="164">
        <f t="shared" si="16"/>
        <v>0.81481481481481477</v>
      </c>
      <c r="J32" s="164" t="str">
        <f t="shared" si="17"/>
        <v>-</v>
      </c>
      <c r="K32" s="135" t="str">
        <f t="shared" si="18"/>
        <v>-</v>
      </c>
      <c r="L32" s="135">
        <f t="shared" si="19"/>
        <v>270</v>
      </c>
      <c r="M32" s="135" t="str">
        <f t="shared" si="20"/>
        <v>-</v>
      </c>
      <c r="N32" s="135">
        <v>3</v>
      </c>
      <c r="O32" s="135">
        <v>1.1000000000000001</v>
      </c>
      <c r="P32" s="165">
        <f t="shared" si="21"/>
        <v>27</v>
      </c>
      <c r="Q32" s="699">
        <f t="shared" si="22"/>
        <v>2.7</v>
      </c>
      <c r="R32" s="700"/>
      <c r="S32" s="166" t="str">
        <f t="shared" si="23"/>
        <v>Соответствует ПТЭЭП</v>
      </c>
      <c r="T32" s="149" t="s">
        <v>441</v>
      </c>
      <c r="U32" s="167">
        <v>10</v>
      </c>
      <c r="V32" s="168">
        <v>270</v>
      </c>
      <c r="W32" s="169" t="s">
        <v>449</v>
      </c>
    </row>
    <row r="33" spans="1:23" s="341" customFormat="1" ht="32.25" customHeight="1">
      <c r="A33" s="135">
        <f t="shared" si="24"/>
        <v>12</v>
      </c>
      <c r="B33" s="146" t="s">
        <v>877</v>
      </c>
      <c r="C33" s="403" t="s">
        <v>893</v>
      </c>
      <c r="D33" s="162" t="str">
        <f t="shared" si="12"/>
        <v>~220В</v>
      </c>
      <c r="E33" s="163" t="s">
        <v>944</v>
      </c>
      <c r="F33" s="135">
        <f t="shared" si="13"/>
        <v>10</v>
      </c>
      <c r="G33" s="135">
        <f t="shared" si="14"/>
        <v>100</v>
      </c>
      <c r="H33" s="164" t="str">
        <f t="shared" si="15"/>
        <v>-</v>
      </c>
      <c r="I33" s="164" t="str">
        <f t="shared" si="16"/>
        <v>-</v>
      </c>
      <c r="J33" s="164">
        <f t="shared" si="17"/>
        <v>0.7857142857142857</v>
      </c>
      <c r="K33" s="135" t="str">
        <f t="shared" si="18"/>
        <v>-</v>
      </c>
      <c r="L33" s="135" t="str">
        <f t="shared" si="19"/>
        <v>-</v>
      </c>
      <c r="M33" s="135">
        <f t="shared" si="20"/>
        <v>280</v>
      </c>
      <c r="N33" s="135">
        <v>3</v>
      </c>
      <c r="O33" s="135">
        <v>1.1000000000000001</v>
      </c>
      <c r="P33" s="165">
        <f t="shared" si="21"/>
        <v>28</v>
      </c>
      <c r="Q33" s="699">
        <f t="shared" si="22"/>
        <v>2.8</v>
      </c>
      <c r="R33" s="700"/>
      <c r="S33" s="166" t="str">
        <f t="shared" si="23"/>
        <v>Соответствует ПТЭЭП</v>
      </c>
      <c r="T33" s="149" t="s">
        <v>449</v>
      </c>
      <c r="U33" s="167">
        <v>10</v>
      </c>
      <c r="V33" s="168">
        <v>285</v>
      </c>
      <c r="W33" s="169" t="s">
        <v>449</v>
      </c>
    </row>
    <row r="34" spans="1:23" s="341" customFormat="1" ht="32.25" customHeight="1">
      <c r="A34" s="135">
        <f t="shared" si="24"/>
        <v>13</v>
      </c>
      <c r="B34" s="146" t="s">
        <v>877</v>
      </c>
      <c r="C34" s="403" t="s">
        <v>894</v>
      </c>
      <c r="D34" s="162" t="str">
        <f t="shared" si="12"/>
        <v>~220В</v>
      </c>
      <c r="E34" s="163" t="s">
        <v>944</v>
      </c>
      <c r="F34" s="135">
        <f t="shared" si="13"/>
        <v>10</v>
      </c>
      <c r="G34" s="135">
        <f t="shared" si="14"/>
        <v>100</v>
      </c>
      <c r="H34" s="164">
        <f t="shared" si="15"/>
        <v>0.88</v>
      </c>
      <c r="I34" s="164" t="str">
        <f t="shared" si="16"/>
        <v>-</v>
      </c>
      <c r="J34" s="164" t="str">
        <f t="shared" si="17"/>
        <v>-</v>
      </c>
      <c r="K34" s="135">
        <f t="shared" si="18"/>
        <v>250</v>
      </c>
      <c r="L34" s="135" t="str">
        <f t="shared" si="19"/>
        <v>-</v>
      </c>
      <c r="M34" s="135" t="str">
        <f t="shared" si="20"/>
        <v>-</v>
      </c>
      <c r="N34" s="135">
        <v>3</v>
      </c>
      <c r="O34" s="135">
        <v>1.1000000000000001</v>
      </c>
      <c r="P34" s="165">
        <f t="shared" si="21"/>
        <v>25</v>
      </c>
      <c r="Q34" s="699">
        <f t="shared" si="22"/>
        <v>2.5</v>
      </c>
      <c r="R34" s="700"/>
      <c r="S34" s="166" t="str">
        <f t="shared" si="23"/>
        <v>Соответствует ПТЭЭП</v>
      </c>
      <c r="T34" s="149" t="s">
        <v>448</v>
      </c>
      <c r="U34" s="167">
        <v>10</v>
      </c>
      <c r="V34" s="168">
        <v>265</v>
      </c>
      <c r="W34" s="169" t="s">
        <v>449</v>
      </c>
    </row>
    <row r="35" spans="1:23" s="341" customFormat="1" ht="32.25" customHeight="1">
      <c r="A35" s="135">
        <f t="shared" si="24"/>
        <v>14</v>
      </c>
      <c r="B35" s="146" t="s">
        <v>877</v>
      </c>
      <c r="C35" s="403" t="s">
        <v>895</v>
      </c>
      <c r="D35" s="162" t="str">
        <f t="shared" si="12"/>
        <v>~220В</v>
      </c>
      <c r="E35" s="163" t="s">
        <v>944</v>
      </c>
      <c r="F35" s="135">
        <f t="shared" si="13"/>
        <v>10</v>
      </c>
      <c r="G35" s="135">
        <f t="shared" si="14"/>
        <v>100</v>
      </c>
      <c r="H35" s="164" t="str">
        <f t="shared" si="15"/>
        <v>-</v>
      </c>
      <c r="I35" s="164">
        <f t="shared" si="16"/>
        <v>0.84615384615384615</v>
      </c>
      <c r="J35" s="164" t="str">
        <f t="shared" si="17"/>
        <v>-</v>
      </c>
      <c r="K35" s="135" t="str">
        <f t="shared" si="18"/>
        <v>-</v>
      </c>
      <c r="L35" s="135">
        <f t="shared" si="19"/>
        <v>260</v>
      </c>
      <c r="M35" s="135" t="str">
        <f t="shared" si="20"/>
        <v>-</v>
      </c>
      <c r="N35" s="135">
        <v>3</v>
      </c>
      <c r="O35" s="135">
        <v>1.1000000000000001</v>
      </c>
      <c r="P35" s="165">
        <f t="shared" si="21"/>
        <v>26</v>
      </c>
      <c r="Q35" s="699">
        <f t="shared" si="22"/>
        <v>2.6</v>
      </c>
      <c r="R35" s="700"/>
      <c r="S35" s="166" t="str">
        <f t="shared" si="23"/>
        <v>Соответствует ПТЭЭП</v>
      </c>
      <c r="T35" s="149" t="s">
        <v>441</v>
      </c>
      <c r="U35" s="167">
        <v>10</v>
      </c>
      <c r="V35" s="168">
        <v>260</v>
      </c>
      <c r="W35" s="169" t="s">
        <v>449</v>
      </c>
    </row>
    <row r="36" spans="1:23" s="341" customFormat="1" ht="32.25" customHeight="1">
      <c r="A36" s="135">
        <f t="shared" si="24"/>
        <v>15</v>
      </c>
      <c r="B36" s="146" t="s">
        <v>877</v>
      </c>
      <c r="C36" s="403" t="s">
        <v>896</v>
      </c>
      <c r="D36" s="162" t="str">
        <f t="shared" si="12"/>
        <v>~220В</v>
      </c>
      <c r="E36" s="163" t="s">
        <v>944</v>
      </c>
      <c r="F36" s="135">
        <f t="shared" si="13"/>
        <v>10</v>
      </c>
      <c r="G36" s="135">
        <f t="shared" si="14"/>
        <v>100</v>
      </c>
      <c r="H36" s="164" t="str">
        <f t="shared" si="15"/>
        <v>-</v>
      </c>
      <c r="I36" s="164" t="str">
        <f t="shared" si="16"/>
        <v>-</v>
      </c>
      <c r="J36" s="164">
        <f t="shared" si="17"/>
        <v>0.81481481481481477</v>
      </c>
      <c r="K36" s="135" t="str">
        <f t="shared" si="18"/>
        <v>-</v>
      </c>
      <c r="L36" s="135" t="str">
        <f t="shared" si="19"/>
        <v>-</v>
      </c>
      <c r="M36" s="135">
        <f t="shared" si="20"/>
        <v>270</v>
      </c>
      <c r="N36" s="135">
        <v>3</v>
      </c>
      <c r="O36" s="135">
        <v>1.1000000000000001</v>
      </c>
      <c r="P36" s="165">
        <f t="shared" si="21"/>
        <v>27</v>
      </c>
      <c r="Q36" s="699">
        <f t="shared" si="22"/>
        <v>2.7</v>
      </c>
      <c r="R36" s="700"/>
      <c r="S36" s="166" t="str">
        <f t="shared" si="23"/>
        <v>Соответствует ПТЭЭП</v>
      </c>
      <c r="T36" s="149" t="s">
        <v>449</v>
      </c>
      <c r="U36" s="167">
        <v>10</v>
      </c>
      <c r="V36" s="168">
        <v>275</v>
      </c>
      <c r="W36" s="169" t="s">
        <v>449</v>
      </c>
    </row>
    <row r="37" spans="1:23" s="341" customFormat="1" ht="20.100000000000001" customHeight="1">
      <c r="A37" s="73" t="str">
        <f ca="1">'Протокол №505-3'!A40</f>
        <v>пом. №214</v>
      </c>
      <c r="B37" s="74"/>
      <c r="C37" s="74"/>
      <c r="D37" s="74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60"/>
      <c r="T37" s="136"/>
      <c r="U37" s="167"/>
      <c r="V37" s="168"/>
      <c r="W37" s="169"/>
    </row>
    <row r="38" spans="1:23" s="341" customFormat="1" ht="20.100000000000001" customHeight="1">
      <c r="A38" s="73" t="str">
        <f ca="1">'Протокол №505-3'!A41</f>
        <v>ЩС-2</v>
      </c>
      <c r="B38" s="74"/>
      <c r="C38" s="74"/>
      <c r="D38" s="74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136"/>
      <c r="U38" s="167"/>
      <c r="V38" s="168">
        <v>950</v>
      </c>
      <c r="W38" s="169"/>
    </row>
    <row r="39" spans="1:23" s="341" customFormat="1" ht="32.25" customHeight="1">
      <c r="A39" s="135">
        <v>16</v>
      </c>
      <c r="B39" s="146" t="s">
        <v>877</v>
      </c>
      <c r="C39" s="403" t="s">
        <v>878</v>
      </c>
      <c r="D39" s="162" t="str">
        <f t="shared" ref="D39:D48" si="25">IF(T39="АВС","~380В","~220В")</f>
        <v>~220В</v>
      </c>
      <c r="E39" s="163" t="s">
        <v>943</v>
      </c>
      <c r="F39" s="135">
        <f t="shared" ref="F39:F48" si="26">U39</f>
        <v>16</v>
      </c>
      <c r="G39" s="135">
        <f t="shared" ref="G39:G48" si="27">IF(T39="ПН-2",U39,IF(W39="в",F39*5,IF(W39="С",F39*10,IF(W39="d",F39*20,F39))))</f>
        <v>160</v>
      </c>
      <c r="H39" s="164">
        <f t="shared" ref="H39:H48" si="28">IF(OR(T39="В",T39="С"),"-",220/K39)</f>
        <v>0.5641025641025641</v>
      </c>
      <c r="I39" s="164" t="str">
        <f t="shared" ref="I39:I48" si="29">IF(OR(T39="А",T39="С"),"-",220/L39)</f>
        <v>-</v>
      </c>
      <c r="J39" s="164" t="str">
        <f t="shared" ref="J39:J48" si="30">IF(OR(T39="А",T39="В"),"-",220/M39)</f>
        <v>-</v>
      </c>
      <c r="K39" s="135">
        <f t="shared" ref="K39:K48" si="31">IF(OR(T39="В",T39="С"),"-",TRUNC(ROUND(V39-0.03*V39,0)/10,0)*10)</f>
        <v>390</v>
      </c>
      <c r="L39" s="135" t="str">
        <f t="shared" ref="L39:L48" si="32">IF(OR(T39="А",T39="С"),"-",TRUNC(ROUND(V39+0.03*V39,0)/10,0)*10)</f>
        <v>-</v>
      </c>
      <c r="M39" s="135" t="str">
        <f t="shared" ref="M39:M48" si="33">IF(OR(T39="А",T39="В"),"-",TRUNC(V39/10,0)*10)</f>
        <v>-</v>
      </c>
      <c r="N39" s="135">
        <v>3</v>
      </c>
      <c r="O39" s="135">
        <v>1.1000000000000001</v>
      </c>
      <c r="P39" s="165">
        <f t="shared" ref="P39:P48" si="34">IF(OR(T39="АВС",T39="А"),K39/F39,IF(T39="В",L39/F39,IF(T39="С",M39/F39,K39/G39)))</f>
        <v>24.375</v>
      </c>
      <c r="Q39" s="699">
        <f t="shared" ref="Q39:Q48" si="35">IF(OR(T39="АВС",T39="А"),ROUNDDOWN(K39/G39,1),IF(T39="В",ROUNDDOWN(L39/G39,1),IF(T39="С",ROUNDDOWN(M39/G39,1),"-")))</f>
        <v>2.4</v>
      </c>
      <c r="R39" s="700"/>
      <c r="S39" s="166" t="str">
        <f t="shared" ref="S39:S48" si="36">IF(OR(Q39&lt;O39,P39&lt;N39),"Не соответствует ПТЭЭП","Соответствует ПТЭЭП")</f>
        <v>Соответствует ПТЭЭП</v>
      </c>
      <c r="T39" s="149" t="s">
        <v>448</v>
      </c>
      <c r="U39" s="167">
        <v>16</v>
      </c>
      <c r="V39" s="168">
        <v>410</v>
      </c>
      <c r="W39" s="169" t="s">
        <v>449</v>
      </c>
    </row>
    <row r="40" spans="1:23" s="341" customFormat="1" ht="30.95" customHeight="1">
      <c r="A40" s="135">
        <f t="shared" ref="A40:A48" si="37">A39+1</f>
        <v>17</v>
      </c>
      <c r="B40" s="146" t="s">
        <v>877</v>
      </c>
      <c r="C40" s="403" t="s">
        <v>881</v>
      </c>
      <c r="D40" s="162" t="str">
        <f t="shared" si="25"/>
        <v>~220В</v>
      </c>
      <c r="E40" s="163" t="s">
        <v>943</v>
      </c>
      <c r="F40" s="135">
        <f t="shared" si="26"/>
        <v>16</v>
      </c>
      <c r="G40" s="135">
        <f t="shared" si="27"/>
        <v>160</v>
      </c>
      <c r="H40" s="164" t="str">
        <f t="shared" si="28"/>
        <v>-</v>
      </c>
      <c r="I40" s="164">
        <f t="shared" si="29"/>
        <v>0.53658536585365857</v>
      </c>
      <c r="J40" s="164" t="str">
        <f t="shared" si="30"/>
        <v>-</v>
      </c>
      <c r="K40" s="135" t="str">
        <f t="shared" si="31"/>
        <v>-</v>
      </c>
      <c r="L40" s="135">
        <f t="shared" si="32"/>
        <v>410</v>
      </c>
      <c r="M40" s="135" t="str">
        <f t="shared" si="33"/>
        <v>-</v>
      </c>
      <c r="N40" s="135">
        <v>3</v>
      </c>
      <c r="O40" s="135">
        <v>1.1000000000000001</v>
      </c>
      <c r="P40" s="165">
        <f t="shared" si="34"/>
        <v>25.625</v>
      </c>
      <c r="Q40" s="699">
        <f t="shared" si="35"/>
        <v>2.5</v>
      </c>
      <c r="R40" s="700"/>
      <c r="S40" s="166" t="str">
        <f t="shared" si="36"/>
        <v>Соответствует ПТЭЭП</v>
      </c>
      <c r="T40" s="149" t="s">
        <v>441</v>
      </c>
      <c r="U40" s="167">
        <v>16</v>
      </c>
      <c r="V40" s="168">
        <v>405</v>
      </c>
      <c r="W40" s="169" t="s">
        <v>449</v>
      </c>
    </row>
    <row r="41" spans="1:23" s="341" customFormat="1" ht="30.95" customHeight="1">
      <c r="A41" s="135">
        <f t="shared" si="37"/>
        <v>18</v>
      </c>
      <c r="B41" s="146" t="s">
        <v>877</v>
      </c>
      <c r="C41" s="403" t="s">
        <v>888</v>
      </c>
      <c r="D41" s="162" t="str">
        <f t="shared" si="25"/>
        <v>~220В</v>
      </c>
      <c r="E41" s="163" t="s">
        <v>944</v>
      </c>
      <c r="F41" s="135">
        <f t="shared" si="26"/>
        <v>20</v>
      </c>
      <c r="G41" s="135">
        <f t="shared" si="27"/>
        <v>200</v>
      </c>
      <c r="H41" s="164">
        <f t="shared" si="28"/>
        <v>0.57894736842105265</v>
      </c>
      <c r="I41" s="164" t="str">
        <f t="shared" si="29"/>
        <v>-</v>
      </c>
      <c r="J41" s="164" t="str">
        <f t="shared" si="30"/>
        <v>-</v>
      </c>
      <c r="K41" s="135">
        <f t="shared" si="31"/>
        <v>380</v>
      </c>
      <c r="L41" s="135" t="str">
        <f t="shared" si="32"/>
        <v>-</v>
      </c>
      <c r="M41" s="135" t="str">
        <f t="shared" si="33"/>
        <v>-</v>
      </c>
      <c r="N41" s="135">
        <v>3</v>
      </c>
      <c r="O41" s="135">
        <v>1.1000000000000001</v>
      </c>
      <c r="P41" s="165">
        <f t="shared" si="34"/>
        <v>19</v>
      </c>
      <c r="Q41" s="699">
        <f t="shared" si="35"/>
        <v>1.9</v>
      </c>
      <c r="R41" s="700"/>
      <c r="S41" s="166" t="str">
        <f t="shared" si="36"/>
        <v>Соответствует ПТЭЭП</v>
      </c>
      <c r="T41" s="149" t="s">
        <v>448</v>
      </c>
      <c r="U41" s="167">
        <v>20</v>
      </c>
      <c r="V41" s="168">
        <v>400</v>
      </c>
      <c r="W41" s="169" t="s">
        <v>449</v>
      </c>
    </row>
    <row r="42" spans="1:23" s="341" customFormat="1" ht="30.95" customHeight="1">
      <c r="A42" s="135">
        <f t="shared" si="37"/>
        <v>19</v>
      </c>
      <c r="B42" s="146" t="s">
        <v>877</v>
      </c>
      <c r="C42" s="403" t="s">
        <v>890</v>
      </c>
      <c r="D42" s="162" t="str">
        <f t="shared" si="25"/>
        <v>~220В</v>
      </c>
      <c r="E42" s="163" t="s">
        <v>944</v>
      </c>
      <c r="F42" s="135">
        <f t="shared" si="26"/>
        <v>20</v>
      </c>
      <c r="G42" s="135">
        <f t="shared" si="27"/>
        <v>200</v>
      </c>
      <c r="H42" s="164" t="str">
        <f t="shared" si="28"/>
        <v>-</v>
      </c>
      <c r="I42" s="164">
        <f t="shared" si="29"/>
        <v>0.55000000000000004</v>
      </c>
      <c r="J42" s="164" t="str">
        <f t="shared" si="30"/>
        <v>-</v>
      </c>
      <c r="K42" s="135" t="str">
        <f t="shared" si="31"/>
        <v>-</v>
      </c>
      <c r="L42" s="135">
        <f t="shared" si="32"/>
        <v>400</v>
      </c>
      <c r="M42" s="135" t="str">
        <f t="shared" si="33"/>
        <v>-</v>
      </c>
      <c r="N42" s="135">
        <v>3</v>
      </c>
      <c r="O42" s="135">
        <v>1.1000000000000001</v>
      </c>
      <c r="P42" s="165">
        <f t="shared" si="34"/>
        <v>20</v>
      </c>
      <c r="Q42" s="699">
        <f t="shared" si="35"/>
        <v>2</v>
      </c>
      <c r="R42" s="700"/>
      <c r="S42" s="166" t="str">
        <f t="shared" si="36"/>
        <v>Соответствует ПТЭЭП</v>
      </c>
      <c r="T42" s="149" t="s">
        <v>441</v>
      </c>
      <c r="U42" s="167">
        <v>20</v>
      </c>
      <c r="V42" s="168">
        <v>395</v>
      </c>
      <c r="W42" s="169" t="s">
        <v>449</v>
      </c>
    </row>
    <row r="43" spans="1:23" s="341" customFormat="1" ht="30.95" customHeight="1">
      <c r="A43" s="135">
        <f t="shared" si="37"/>
        <v>20</v>
      </c>
      <c r="B43" s="146" t="s">
        <v>877</v>
      </c>
      <c r="C43" s="403" t="s">
        <v>893</v>
      </c>
      <c r="D43" s="162" t="str">
        <f t="shared" si="25"/>
        <v>~220В</v>
      </c>
      <c r="E43" s="163" t="s">
        <v>944</v>
      </c>
      <c r="F43" s="135">
        <f t="shared" si="26"/>
        <v>20</v>
      </c>
      <c r="G43" s="135">
        <f t="shared" si="27"/>
        <v>200</v>
      </c>
      <c r="H43" s="164" t="str">
        <f t="shared" si="28"/>
        <v>-</v>
      </c>
      <c r="I43" s="164" t="str">
        <f t="shared" si="29"/>
        <v>-</v>
      </c>
      <c r="J43" s="164">
        <f t="shared" si="30"/>
        <v>0.5641025641025641</v>
      </c>
      <c r="K43" s="135" t="str">
        <f t="shared" si="31"/>
        <v>-</v>
      </c>
      <c r="L43" s="135" t="str">
        <f t="shared" si="32"/>
        <v>-</v>
      </c>
      <c r="M43" s="135">
        <f t="shared" si="33"/>
        <v>390</v>
      </c>
      <c r="N43" s="135">
        <v>3</v>
      </c>
      <c r="O43" s="135">
        <v>1.1000000000000001</v>
      </c>
      <c r="P43" s="165">
        <f t="shared" si="34"/>
        <v>19.5</v>
      </c>
      <c r="Q43" s="699">
        <f t="shared" si="35"/>
        <v>1.9</v>
      </c>
      <c r="R43" s="700"/>
      <c r="S43" s="166" t="str">
        <f t="shared" si="36"/>
        <v>Соответствует ПТЭЭП</v>
      </c>
      <c r="T43" s="149" t="s">
        <v>449</v>
      </c>
      <c r="U43" s="167">
        <v>20</v>
      </c>
      <c r="V43" s="168">
        <v>390</v>
      </c>
      <c r="W43" s="169" t="s">
        <v>449</v>
      </c>
    </row>
    <row r="44" spans="1:23" s="341" customFormat="1" ht="30.95" customHeight="1">
      <c r="A44" s="135">
        <f t="shared" si="37"/>
        <v>21</v>
      </c>
      <c r="B44" s="146" t="s">
        <v>877</v>
      </c>
      <c r="C44" s="403" t="s">
        <v>894</v>
      </c>
      <c r="D44" s="162" t="str">
        <f t="shared" si="25"/>
        <v>~220В</v>
      </c>
      <c r="E44" s="163" t="s">
        <v>944</v>
      </c>
      <c r="F44" s="135">
        <f t="shared" si="26"/>
        <v>20</v>
      </c>
      <c r="G44" s="135">
        <f t="shared" si="27"/>
        <v>200</v>
      </c>
      <c r="H44" s="164">
        <f t="shared" si="28"/>
        <v>0.59459459459459463</v>
      </c>
      <c r="I44" s="164" t="str">
        <f t="shared" si="29"/>
        <v>-</v>
      </c>
      <c r="J44" s="164" t="str">
        <f t="shared" si="30"/>
        <v>-</v>
      </c>
      <c r="K44" s="135">
        <f t="shared" si="31"/>
        <v>370</v>
      </c>
      <c r="L44" s="135" t="str">
        <f t="shared" si="32"/>
        <v>-</v>
      </c>
      <c r="M44" s="135" t="str">
        <f t="shared" si="33"/>
        <v>-</v>
      </c>
      <c r="N44" s="135">
        <v>3</v>
      </c>
      <c r="O44" s="135">
        <v>1.1000000000000001</v>
      </c>
      <c r="P44" s="165">
        <f t="shared" si="34"/>
        <v>18.5</v>
      </c>
      <c r="Q44" s="699">
        <f t="shared" si="35"/>
        <v>1.8</v>
      </c>
      <c r="R44" s="700"/>
      <c r="S44" s="166" t="str">
        <f t="shared" si="36"/>
        <v>Соответствует ПТЭЭП</v>
      </c>
      <c r="T44" s="149" t="s">
        <v>448</v>
      </c>
      <c r="U44" s="167">
        <v>20</v>
      </c>
      <c r="V44" s="168">
        <v>385</v>
      </c>
      <c r="W44" s="169" t="s">
        <v>449</v>
      </c>
    </row>
    <row r="45" spans="1:23" s="341" customFormat="1" ht="30.95" customHeight="1">
      <c r="A45" s="135">
        <f t="shared" si="37"/>
        <v>22</v>
      </c>
      <c r="B45" s="146" t="s">
        <v>877</v>
      </c>
      <c r="C45" s="403" t="s">
        <v>895</v>
      </c>
      <c r="D45" s="162" t="str">
        <f t="shared" si="25"/>
        <v>~220В</v>
      </c>
      <c r="E45" s="163" t="s">
        <v>944</v>
      </c>
      <c r="F45" s="135">
        <f t="shared" si="26"/>
        <v>20</v>
      </c>
      <c r="G45" s="135">
        <f t="shared" si="27"/>
        <v>200</v>
      </c>
      <c r="H45" s="164" t="str">
        <f t="shared" si="28"/>
        <v>-</v>
      </c>
      <c r="I45" s="164">
        <f t="shared" si="29"/>
        <v>0.5641025641025641</v>
      </c>
      <c r="J45" s="164" t="str">
        <f t="shared" si="30"/>
        <v>-</v>
      </c>
      <c r="K45" s="135" t="str">
        <f t="shared" si="31"/>
        <v>-</v>
      </c>
      <c r="L45" s="135">
        <f t="shared" si="32"/>
        <v>390</v>
      </c>
      <c r="M45" s="135" t="str">
        <f t="shared" si="33"/>
        <v>-</v>
      </c>
      <c r="N45" s="135">
        <v>3</v>
      </c>
      <c r="O45" s="135">
        <v>1.1000000000000001</v>
      </c>
      <c r="P45" s="165">
        <f t="shared" si="34"/>
        <v>19.5</v>
      </c>
      <c r="Q45" s="699">
        <f t="shared" si="35"/>
        <v>1.9</v>
      </c>
      <c r="R45" s="700"/>
      <c r="S45" s="166" t="str">
        <f t="shared" si="36"/>
        <v>Соответствует ПТЭЭП</v>
      </c>
      <c r="T45" s="149" t="s">
        <v>441</v>
      </c>
      <c r="U45" s="167">
        <v>20</v>
      </c>
      <c r="V45" s="168">
        <v>380</v>
      </c>
      <c r="W45" s="169" t="s">
        <v>449</v>
      </c>
    </row>
    <row r="46" spans="1:23" s="341" customFormat="1" ht="30.95" customHeight="1">
      <c r="A46" s="135">
        <f t="shared" si="37"/>
        <v>23</v>
      </c>
      <c r="B46" s="146" t="s">
        <v>877</v>
      </c>
      <c r="C46" s="403" t="s">
        <v>896</v>
      </c>
      <c r="D46" s="162" t="str">
        <f t="shared" si="25"/>
        <v>~220В</v>
      </c>
      <c r="E46" s="163" t="s">
        <v>944</v>
      </c>
      <c r="F46" s="135">
        <f t="shared" si="26"/>
        <v>20</v>
      </c>
      <c r="G46" s="135">
        <f t="shared" si="27"/>
        <v>200</v>
      </c>
      <c r="H46" s="164" t="str">
        <f t="shared" si="28"/>
        <v>-</v>
      </c>
      <c r="I46" s="164" t="str">
        <f t="shared" si="29"/>
        <v>-</v>
      </c>
      <c r="J46" s="164">
        <f t="shared" si="30"/>
        <v>0.59459459459459463</v>
      </c>
      <c r="K46" s="135" t="str">
        <f t="shared" si="31"/>
        <v>-</v>
      </c>
      <c r="L46" s="135" t="str">
        <f t="shared" si="32"/>
        <v>-</v>
      </c>
      <c r="M46" s="135">
        <f t="shared" si="33"/>
        <v>370</v>
      </c>
      <c r="N46" s="135">
        <v>3</v>
      </c>
      <c r="O46" s="135">
        <v>1.1000000000000001</v>
      </c>
      <c r="P46" s="165">
        <f t="shared" si="34"/>
        <v>18.5</v>
      </c>
      <c r="Q46" s="699">
        <f t="shared" si="35"/>
        <v>1.8</v>
      </c>
      <c r="R46" s="700"/>
      <c r="S46" s="166" t="str">
        <f t="shared" si="36"/>
        <v>Соответствует ПТЭЭП</v>
      </c>
      <c r="T46" s="149" t="s">
        <v>449</v>
      </c>
      <c r="U46" s="167">
        <v>20</v>
      </c>
      <c r="V46" s="168">
        <v>375</v>
      </c>
      <c r="W46" s="169" t="s">
        <v>449</v>
      </c>
    </row>
    <row r="47" spans="1:23" s="341" customFormat="1" ht="30.95" customHeight="1">
      <c r="A47" s="135">
        <f t="shared" si="37"/>
        <v>24</v>
      </c>
      <c r="B47" s="146" t="s">
        <v>877</v>
      </c>
      <c r="C47" s="403" t="s">
        <v>897</v>
      </c>
      <c r="D47" s="162" t="str">
        <f t="shared" si="25"/>
        <v>~220В</v>
      </c>
      <c r="E47" s="163" t="s">
        <v>944</v>
      </c>
      <c r="F47" s="135">
        <f t="shared" si="26"/>
        <v>20</v>
      </c>
      <c r="G47" s="135">
        <f t="shared" si="27"/>
        <v>200</v>
      </c>
      <c r="H47" s="164">
        <f t="shared" si="28"/>
        <v>0.62857142857142856</v>
      </c>
      <c r="I47" s="164" t="str">
        <f t="shared" si="29"/>
        <v>-</v>
      </c>
      <c r="J47" s="164" t="str">
        <f t="shared" si="30"/>
        <v>-</v>
      </c>
      <c r="K47" s="135">
        <f t="shared" si="31"/>
        <v>350</v>
      </c>
      <c r="L47" s="135" t="str">
        <f t="shared" si="32"/>
        <v>-</v>
      </c>
      <c r="M47" s="135" t="str">
        <f t="shared" si="33"/>
        <v>-</v>
      </c>
      <c r="N47" s="135">
        <v>3</v>
      </c>
      <c r="O47" s="135">
        <v>1.1000000000000001</v>
      </c>
      <c r="P47" s="165">
        <f t="shared" si="34"/>
        <v>17.5</v>
      </c>
      <c r="Q47" s="699">
        <f t="shared" si="35"/>
        <v>1.7</v>
      </c>
      <c r="R47" s="700"/>
      <c r="S47" s="166" t="str">
        <f t="shared" si="36"/>
        <v>Соответствует ПТЭЭП</v>
      </c>
      <c r="T47" s="149" t="s">
        <v>448</v>
      </c>
      <c r="U47" s="167">
        <v>20</v>
      </c>
      <c r="V47" s="168">
        <v>370</v>
      </c>
      <c r="W47" s="169" t="s">
        <v>449</v>
      </c>
    </row>
    <row r="48" spans="1:23" s="341" customFormat="1" ht="30.95" customHeight="1">
      <c r="A48" s="135">
        <f t="shared" si="37"/>
        <v>25</v>
      </c>
      <c r="B48" s="146" t="s">
        <v>877</v>
      </c>
      <c r="C48" s="403" t="s">
        <v>898</v>
      </c>
      <c r="D48" s="162" t="str">
        <f t="shared" si="25"/>
        <v>~220В</v>
      </c>
      <c r="E48" s="163" t="s">
        <v>944</v>
      </c>
      <c r="F48" s="135">
        <f t="shared" si="26"/>
        <v>20</v>
      </c>
      <c r="G48" s="135">
        <f t="shared" si="27"/>
        <v>200</v>
      </c>
      <c r="H48" s="164" t="str">
        <f t="shared" si="28"/>
        <v>-</v>
      </c>
      <c r="I48" s="164">
        <f t="shared" si="29"/>
        <v>0.59459459459459463</v>
      </c>
      <c r="J48" s="164" t="str">
        <f t="shared" si="30"/>
        <v>-</v>
      </c>
      <c r="K48" s="135" t="str">
        <f t="shared" si="31"/>
        <v>-</v>
      </c>
      <c r="L48" s="135">
        <f t="shared" si="32"/>
        <v>370</v>
      </c>
      <c r="M48" s="135" t="str">
        <f t="shared" si="33"/>
        <v>-</v>
      </c>
      <c r="N48" s="135">
        <v>3</v>
      </c>
      <c r="O48" s="135">
        <v>1.1000000000000001</v>
      </c>
      <c r="P48" s="165">
        <f t="shared" si="34"/>
        <v>18.5</v>
      </c>
      <c r="Q48" s="699">
        <f t="shared" si="35"/>
        <v>1.8</v>
      </c>
      <c r="R48" s="700"/>
      <c r="S48" s="166" t="str">
        <f t="shared" si="36"/>
        <v>Соответствует ПТЭЭП</v>
      </c>
      <c r="T48" s="149" t="s">
        <v>441</v>
      </c>
      <c r="U48" s="167">
        <v>20</v>
      </c>
      <c r="V48" s="168">
        <v>365</v>
      </c>
      <c r="W48" s="169" t="s">
        <v>449</v>
      </c>
    </row>
    <row r="49" spans="1:23" s="341" customFormat="1" ht="20.100000000000001" customHeight="1">
      <c r="A49" s="73" t="str">
        <f ca="1">'Протокол №505-3'!A52</f>
        <v>ЩО-2</v>
      </c>
      <c r="B49" s="74"/>
      <c r="C49" s="74"/>
      <c r="D49" s="74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  <c r="T49" s="136"/>
      <c r="U49" s="167"/>
      <c r="V49" s="168">
        <v>380</v>
      </c>
      <c r="W49" s="169"/>
    </row>
    <row r="50" spans="1:23" s="341" customFormat="1" ht="30.95" customHeight="1">
      <c r="A50" s="135">
        <v>26</v>
      </c>
      <c r="B50" s="146" t="s">
        <v>877</v>
      </c>
      <c r="C50" s="403" t="s">
        <v>888</v>
      </c>
      <c r="D50" s="162" t="str">
        <f>IF(T50="АВС","~380В","~220В")</f>
        <v>~220В</v>
      </c>
      <c r="E50" s="163" t="s">
        <v>944</v>
      </c>
      <c r="F50" s="135">
        <f>U50</f>
        <v>10</v>
      </c>
      <c r="G50" s="135">
        <f>IF(T50="ПН-2",U50,IF(W50="в",F50*5,IF(W50="С",F50*10,IF(W50="d",F50*20,F50))))</f>
        <v>100</v>
      </c>
      <c r="H50" s="164">
        <f>IF(OR(T50="В",T50="С"),"-",220/K50)</f>
        <v>0.75862068965517238</v>
      </c>
      <c r="I50" s="164" t="str">
        <f>IF(OR(T50="А",T50="С"),"-",220/L50)</f>
        <v>-</v>
      </c>
      <c r="J50" s="164" t="str">
        <f>IF(OR(T50="А",T50="В"),"-",220/M50)</f>
        <v>-</v>
      </c>
      <c r="K50" s="135">
        <f>IF(OR(T50="В",T50="С"),"-",TRUNC(ROUND(V50-0.03*V50,0)/10,0)*10)</f>
        <v>290</v>
      </c>
      <c r="L50" s="135" t="str">
        <f>IF(OR(T50="А",T50="С"),"-",TRUNC(ROUND(V50+0.03*V50,0)/10,0)*10)</f>
        <v>-</v>
      </c>
      <c r="M50" s="135" t="str">
        <f>IF(OR(T50="А",T50="В"),"-",TRUNC(V50/10,0)*10)</f>
        <v>-</v>
      </c>
      <c r="N50" s="135">
        <v>3</v>
      </c>
      <c r="O50" s="135">
        <v>1.1000000000000001</v>
      </c>
      <c r="P50" s="165">
        <f>IF(OR(T50="АВС",T50="А"),K50/F50,IF(T50="В",L50/F50,IF(T50="С",M50/F50,K50/G50)))</f>
        <v>29</v>
      </c>
      <c r="Q50" s="699">
        <f>IF(OR(T50="АВС",T50="А"),ROUNDDOWN(K50/G50,1),IF(T50="В",ROUNDDOWN(L50/G50,1),IF(T50="С",ROUNDDOWN(M50/G50,1),"-")))</f>
        <v>2.9</v>
      </c>
      <c r="R50" s="700"/>
      <c r="S50" s="166" t="str">
        <f>IF(OR(Q50&lt;O50,P50&lt;N50),"Не соответствует ПТЭЭП","Соответствует ПТЭЭП")</f>
        <v>Соответствует ПТЭЭП</v>
      </c>
      <c r="T50" s="149" t="s">
        <v>448</v>
      </c>
      <c r="U50" s="167">
        <v>10</v>
      </c>
      <c r="V50" s="168">
        <v>300</v>
      </c>
      <c r="W50" s="169" t="s">
        <v>449</v>
      </c>
    </row>
    <row r="51" spans="1:23" s="341" customFormat="1" ht="30.95" customHeight="1">
      <c r="A51" s="135">
        <f>A50+1</f>
        <v>27</v>
      </c>
      <c r="B51" s="430" t="s">
        <v>877</v>
      </c>
      <c r="C51" s="431" t="s">
        <v>890</v>
      </c>
      <c r="D51" s="162" t="str">
        <f>IF(T51="АВС","~380В","~220В")</f>
        <v>~220В</v>
      </c>
      <c r="E51" s="163" t="s">
        <v>944</v>
      </c>
      <c r="F51" s="135">
        <f>U51</f>
        <v>10</v>
      </c>
      <c r="G51" s="135">
        <f>IF(T51="ПН-2",U51,IF(W51="в",F51*5,IF(W51="С",F51*10,IF(W51="d",F51*20,F51))))</f>
        <v>100</v>
      </c>
      <c r="H51" s="164" t="str">
        <f>IF(OR(T51="В",T51="С"),"-",220/K51)</f>
        <v>-</v>
      </c>
      <c r="I51" s="164">
        <f>IF(OR(T51="А",T51="С"),"-",220/L51)</f>
        <v>0.55000000000000004</v>
      </c>
      <c r="J51" s="164" t="str">
        <f>IF(OR(T51="А",T51="В"),"-",220/M51)</f>
        <v>-</v>
      </c>
      <c r="K51" s="135" t="str">
        <f>IF(OR(T51="В",T51="С"),"-",TRUNC(ROUND(V51-0.03*V51,0)/10,0)*10)</f>
        <v>-</v>
      </c>
      <c r="L51" s="135">
        <f>IF(OR(T51="А",T51="С"),"-",TRUNC(ROUND(V51+0.03*V51,0)/10,0)*10)</f>
        <v>400</v>
      </c>
      <c r="M51" s="135" t="str">
        <f>IF(OR(T51="А",T51="В"),"-",TRUNC(V51/10,0)*10)</f>
        <v>-</v>
      </c>
      <c r="N51" s="135">
        <v>3</v>
      </c>
      <c r="O51" s="135">
        <v>1.1000000000000001</v>
      </c>
      <c r="P51" s="165">
        <f>IF(OR(T51="АВС",T51="А"),K51/F51,IF(T51="В",L51/F51,IF(T51="С",M51/F51,K51/G51)))</f>
        <v>40</v>
      </c>
      <c r="Q51" s="699">
        <f>IF(OR(T51="АВС",T51="А"),ROUNDDOWN(K51/G51,1),IF(T51="В",ROUNDDOWN(L51/G51,1),IF(T51="С",ROUNDDOWN(M51/G51,1),"-")))</f>
        <v>4</v>
      </c>
      <c r="R51" s="700"/>
      <c r="S51" s="166" t="str">
        <f>IF(OR(Q51&lt;O51,P51&lt;N51),"Не соответствует ПТЭЭП","Соответствует ПТЭЭП")</f>
        <v>Соответствует ПТЭЭП</v>
      </c>
      <c r="T51" s="149" t="s">
        <v>441</v>
      </c>
      <c r="U51" s="167">
        <v>10</v>
      </c>
      <c r="V51" s="168">
        <v>390</v>
      </c>
      <c r="W51" s="169" t="s">
        <v>449</v>
      </c>
    </row>
    <row r="52" spans="1:23" s="341" customFormat="1" ht="30.95" customHeight="1">
      <c r="A52" s="135">
        <f>A51+1</f>
        <v>28</v>
      </c>
      <c r="B52" s="146" t="s">
        <v>877</v>
      </c>
      <c r="C52" s="403" t="s">
        <v>893</v>
      </c>
      <c r="D52" s="162" t="str">
        <f>IF(T52="АВС","~380В","~220В")</f>
        <v>~220В</v>
      </c>
      <c r="E52" s="163" t="s">
        <v>944</v>
      </c>
      <c r="F52" s="135">
        <f>U52</f>
        <v>10</v>
      </c>
      <c r="G52" s="135">
        <f>IF(T52="ПН-2",U52,IF(W52="в",F52*5,IF(W52="С",F52*10,IF(W52="d",F52*20,F52))))</f>
        <v>100</v>
      </c>
      <c r="H52" s="164" t="str">
        <f>IF(OR(T52="В",T52="С"),"-",220/K52)</f>
        <v>-</v>
      </c>
      <c r="I52" s="164" t="str">
        <f>IF(OR(T52="А",T52="С"),"-",220/L52)</f>
        <v>-</v>
      </c>
      <c r="J52" s="164">
        <f>IF(OR(T52="А",T52="В"),"-",220/M52)</f>
        <v>0.7857142857142857</v>
      </c>
      <c r="K52" s="135" t="str">
        <f>IF(OR(T52="В",T52="С"),"-",TRUNC(ROUND(V52-0.03*V52,0)/10,0)*10)</f>
        <v>-</v>
      </c>
      <c r="L52" s="135" t="str">
        <f>IF(OR(T52="А",T52="С"),"-",TRUNC(ROUND(V52+0.03*V52,0)/10,0)*10)</f>
        <v>-</v>
      </c>
      <c r="M52" s="135">
        <f>IF(OR(T52="А",T52="В"),"-",TRUNC(V52/10,0)*10)</f>
        <v>280</v>
      </c>
      <c r="N52" s="135">
        <v>3</v>
      </c>
      <c r="O52" s="135">
        <v>1.1000000000000001</v>
      </c>
      <c r="P52" s="165">
        <f>IF(OR(T52="АВС",T52="А"),K52/F52,IF(T52="В",L52/F52,IF(T52="С",M52/F52,K52/G52)))</f>
        <v>28</v>
      </c>
      <c r="Q52" s="699">
        <f>IF(OR(T52="АВС",T52="А"),ROUNDDOWN(K52/G52,1),IF(T52="В",ROUNDDOWN(L52/G52,1),IF(T52="С",ROUNDDOWN(M52/G52,1),"-")))</f>
        <v>2.8</v>
      </c>
      <c r="R52" s="700"/>
      <c r="S52" s="166" t="str">
        <f>IF(OR(Q52&lt;O52,P52&lt;N52),"Не соответствует ПТЭЭП","Соответствует ПТЭЭП")</f>
        <v>Соответствует ПТЭЭП</v>
      </c>
      <c r="T52" s="149" t="s">
        <v>449</v>
      </c>
      <c r="U52" s="167">
        <v>10</v>
      </c>
      <c r="V52" s="168">
        <v>280</v>
      </c>
      <c r="W52" s="169" t="s">
        <v>449</v>
      </c>
    </row>
    <row r="53" spans="1:23" s="341" customFormat="1" ht="30.95" customHeight="1">
      <c r="A53" s="135">
        <f>A52+1</f>
        <v>29</v>
      </c>
      <c r="B53" s="146" t="s">
        <v>877</v>
      </c>
      <c r="C53" s="403" t="s">
        <v>894</v>
      </c>
      <c r="D53" s="162" t="str">
        <f>IF(T53="АВС","~380В","~220В")</f>
        <v>~220В</v>
      </c>
      <c r="E53" s="163" t="s">
        <v>944</v>
      </c>
      <c r="F53" s="135">
        <f>U53</f>
        <v>10</v>
      </c>
      <c r="G53" s="135">
        <f>IF(T53="ПН-2",U53,IF(W53="в",F53*5,IF(W53="С",F53*10,IF(W53="d",F53*20,F53))))</f>
        <v>100</v>
      </c>
      <c r="H53" s="164">
        <f>IF(OR(T53="В",T53="С"),"-",220/K53)</f>
        <v>0.84615384615384615</v>
      </c>
      <c r="I53" s="164" t="str">
        <f>IF(OR(T53="А",T53="С"),"-",220/L53)</f>
        <v>-</v>
      </c>
      <c r="J53" s="164" t="str">
        <f>IF(OR(T53="А",T53="В"),"-",220/M53)</f>
        <v>-</v>
      </c>
      <c r="K53" s="135">
        <f>IF(OR(T53="В",T53="С"),"-",TRUNC(ROUND(V53-0.03*V53,0)/10,0)*10)</f>
        <v>260</v>
      </c>
      <c r="L53" s="135" t="str">
        <f>IF(OR(T53="А",T53="С"),"-",TRUNC(ROUND(V53+0.03*V53,0)/10,0)*10)</f>
        <v>-</v>
      </c>
      <c r="M53" s="135" t="str">
        <f>IF(OR(T53="А",T53="В"),"-",TRUNC(V53/10,0)*10)</f>
        <v>-</v>
      </c>
      <c r="N53" s="135">
        <v>3</v>
      </c>
      <c r="O53" s="135">
        <v>1.1000000000000001</v>
      </c>
      <c r="P53" s="165">
        <f>IF(OR(T53="АВС",T53="А"),K53/F53,IF(T53="В",L53/F53,IF(T53="С",M53/F53,K53/G53)))</f>
        <v>26</v>
      </c>
      <c r="Q53" s="699">
        <f>IF(OR(T53="АВС",T53="А"),ROUNDDOWN(K53/G53,1),IF(T53="В",ROUNDDOWN(L53/G53,1),IF(T53="С",ROUNDDOWN(M53/G53,1),"-")))</f>
        <v>2.6</v>
      </c>
      <c r="R53" s="700"/>
      <c r="S53" s="166" t="str">
        <f>IF(OR(Q53&lt;O53,P53&lt;N53),"Не соответствует ПТЭЭП","Соответствует ПТЭЭП")</f>
        <v>Соответствует ПТЭЭП</v>
      </c>
      <c r="T53" s="149" t="s">
        <v>448</v>
      </c>
      <c r="U53" s="167">
        <v>10</v>
      </c>
      <c r="V53" s="168">
        <v>270</v>
      </c>
      <c r="W53" s="169" t="s">
        <v>449</v>
      </c>
    </row>
    <row r="54" spans="1:23" s="341" customFormat="1" ht="30.95" customHeight="1">
      <c r="A54" s="135">
        <f>A53+1</f>
        <v>30</v>
      </c>
      <c r="B54" s="146" t="s">
        <v>877</v>
      </c>
      <c r="C54" s="403" t="s">
        <v>895</v>
      </c>
      <c r="D54" s="162" t="str">
        <f>IF(T54="АВС","~380В","~220В")</f>
        <v>~220В</v>
      </c>
      <c r="E54" s="163" t="s">
        <v>944</v>
      </c>
      <c r="F54" s="135">
        <f>U54</f>
        <v>10</v>
      </c>
      <c r="G54" s="135">
        <f>IF(T54="ПН-2",U54,IF(W54="в",F54*5,IF(W54="С",F54*10,IF(W54="d",F54*20,F54))))</f>
        <v>100</v>
      </c>
      <c r="H54" s="164" t="str">
        <f>IF(OR(T54="В",T54="С"),"-",220/K54)</f>
        <v>-</v>
      </c>
      <c r="I54" s="164">
        <f>IF(OR(T54="А",T54="С"),"-",220/L54)</f>
        <v>0.84615384615384615</v>
      </c>
      <c r="J54" s="164" t="str">
        <f>IF(OR(T54="А",T54="В"),"-",220/M54)</f>
        <v>-</v>
      </c>
      <c r="K54" s="135" t="str">
        <f>IF(OR(T54="В",T54="С"),"-",TRUNC(ROUND(V54-0.03*V54,0)/10,0)*10)</f>
        <v>-</v>
      </c>
      <c r="L54" s="135">
        <f>IF(OR(T54="А",T54="С"),"-",TRUNC(ROUND(V54+0.03*V54,0)/10,0)*10)</f>
        <v>260</v>
      </c>
      <c r="M54" s="135" t="str">
        <f>IF(OR(T54="А",T54="В"),"-",TRUNC(V54/10,0)*10)</f>
        <v>-</v>
      </c>
      <c r="N54" s="135">
        <v>3</v>
      </c>
      <c r="O54" s="135">
        <v>1.1000000000000001</v>
      </c>
      <c r="P54" s="165">
        <f>IF(OR(T54="АВС",T54="А"),K54/F54,IF(T54="В",L54/F54,IF(T54="С",M54/F54,K54/G54)))</f>
        <v>26</v>
      </c>
      <c r="Q54" s="699">
        <f>IF(OR(T54="АВС",T54="А"),ROUNDDOWN(K54/G54,1),IF(T54="В",ROUNDDOWN(L54/G54,1),IF(T54="С",ROUNDDOWN(M54/G54,1),"-")))</f>
        <v>2.6</v>
      </c>
      <c r="R54" s="700"/>
      <c r="S54" s="166" t="str">
        <f>IF(OR(Q54&lt;O54,P54&lt;N54),"Не соответствует ПТЭЭП","Соответствует ПТЭЭП")</f>
        <v>Соответствует ПТЭЭП</v>
      </c>
      <c r="T54" s="149" t="s">
        <v>441</v>
      </c>
      <c r="U54" s="167">
        <v>10</v>
      </c>
      <c r="V54" s="168">
        <v>260</v>
      </c>
      <c r="W54" s="169" t="s">
        <v>449</v>
      </c>
    </row>
    <row r="55" spans="1:23" s="341" customFormat="1" ht="18" customHeight="1">
      <c r="A55" s="73" t="str">
        <f ca="1">'Протокол №505-3'!A58</f>
        <v>пом. №101</v>
      </c>
      <c r="B55" s="74"/>
      <c r="C55" s="74"/>
      <c r="D55" s="74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60"/>
      <c r="T55" s="136"/>
      <c r="U55" s="167"/>
      <c r="V55" s="168"/>
      <c r="W55" s="169"/>
    </row>
    <row r="56" spans="1:23" s="341" customFormat="1" ht="16.5" customHeight="1">
      <c r="A56" s="73" t="str">
        <f ca="1">'Протокол №505-3'!A59</f>
        <v>ВРЩ</v>
      </c>
      <c r="B56" s="74"/>
      <c r="C56" s="74"/>
      <c r="D56" s="74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60"/>
      <c r="T56" s="136"/>
      <c r="U56" s="167"/>
      <c r="V56" s="168">
        <v>1400</v>
      </c>
      <c r="W56" s="169"/>
    </row>
    <row r="57" spans="1:23" s="341" customFormat="1" ht="29.25" customHeight="1">
      <c r="A57" s="135">
        <v>31</v>
      </c>
      <c r="B57" s="146" t="s">
        <v>877</v>
      </c>
      <c r="C57" s="403" t="s">
        <v>888</v>
      </c>
      <c r="D57" s="162" t="str">
        <f t="shared" ref="D57:D66" si="38">IF(T57="АВС","~380В","~220В")</f>
        <v>~380В</v>
      </c>
      <c r="E57" s="163" t="s">
        <v>945</v>
      </c>
      <c r="F57" s="135">
        <f t="shared" ref="F57:F66" si="39">U57</f>
        <v>25</v>
      </c>
      <c r="G57" s="135">
        <f t="shared" ref="G57:G66" si="40">IF(T57="ПН-2",U57,IF(W57="в",F57*5,IF(W57="С",F57*10,IF(W57="d",F57*20,F57))))</f>
        <v>250</v>
      </c>
      <c r="H57" s="164">
        <f t="shared" ref="H57:H66" si="41">IF(OR(T57="В",T57="С"),"-",220/K57)</f>
        <v>0.59459459459459463</v>
      </c>
      <c r="I57" s="164">
        <f t="shared" ref="I57:I66" si="42">IF(OR(T57="А",T57="С"),"-",220/L57)</f>
        <v>0.55000000000000004</v>
      </c>
      <c r="J57" s="164">
        <f t="shared" ref="J57:J66" si="43">IF(OR(T57="А",T57="В"),"-",220/M57)</f>
        <v>0.5641025641025641</v>
      </c>
      <c r="K57" s="135">
        <f t="shared" ref="K57:K66" si="44">IF(OR(T57="В",T57="С"),"-",TRUNC(ROUND(V57-0.03*V57,0)/10,0)*10)</f>
        <v>370</v>
      </c>
      <c r="L57" s="135">
        <f t="shared" ref="L57:L66" si="45">IF(OR(T57="А",T57="С"),"-",TRUNC(ROUND(V57+0.03*V57,0)/10,0)*10)</f>
        <v>400</v>
      </c>
      <c r="M57" s="135">
        <f t="shared" ref="M57:M66" si="46">IF(OR(T57="А",T57="В"),"-",TRUNC(V57/10,0)*10)</f>
        <v>390</v>
      </c>
      <c r="N57" s="135">
        <v>3</v>
      </c>
      <c r="O57" s="135">
        <v>1.1000000000000001</v>
      </c>
      <c r="P57" s="165">
        <f t="shared" ref="P57:P66" si="47">IF(OR(T57="АВС",T57="А"),K57/F57,IF(T57="В",L57/F57,IF(T57="С",M57/F57,K57/G57)))</f>
        <v>14.8</v>
      </c>
      <c r="Q57" s="699">
        <f t="shared" ref="Q57:Q66" si="48">IF(OR(T57="АВС",T57="А"),ROUNDDOWN(K57/G57,1),IF(T57="В",ROUNDDOWN(L57/G57,1),IF(T57="С",ROUNDDOWN(M57/G57,1),"-")))</f>
        <v>1.4</v>
      </c>
      <c r="R57" s="700"/>
      <c r="S57" s="166" t="str">
        <f t="shared" ref="S57:S66" si="49">IF(OR(Q57&lt;O57,P57&lt;N57),"Не соответствует ПТЭЭП","Соответствует ПТЭЭП")</f>
        <v>Соответствует ПТЭЭП</v>
      </c>
      <c r="T57" s="149" t="s">
        <v>440</v>
      </c>
      <c r="U57" s="167">
        <v>25</v>
      </c>
      <c r="V57" s="168">
        <v>390</v>
      </c>
      <c r="W57" s="169" t="s">
        <v>449</v>
      </c>
    </row>
    <row r="58" spans="1:23" s="341" customFormat="1" ht="32.25" customHeight="1">
      <c r="A58" s="135">
        <f t="shared" ref="A58:A66" si="50">A57+1</f>
        <v>32</v>
      </c>
      <c r="B58" s="146" t="s">
        <v>877</v>
      </c>
      <c r="C58" s="403" t="s">
        <v>890</v>
      </c>
      <c r="D58" s="162" t="str">
        <f t="shared" si="38"/>
        <v>~380В</v>
      </c>
      <c r="E58" s="163" t="s">
        <v>945</v>
      </c>
      <c r="F58" s="135">
        <f t="shared" si="39"/>
        <v>80</v>
      </c>
      <c r="G58" s="135">
        <f t="shared" si="40"/>
        <v>800</v>
      </c>
      <c r="H58" s="164">
        <f t="shared" si="41"/>
        <v>0.2391304347826087</v>
      </c>
      <c r="I58" s="164">
        <f t="shared" si="42"/>
        <v>0.22680412371134021</v>
      </c>
      <c r="J58" s="164">
        <f t="shared" si="43"/>
        <v>0.23157894736842105</v>
      </c>
      <c r="K58" s="135">
        <f t="shared" si="44"/>
        <v>920</v>
      </c>
      <c r="L58" s="135">
        <f t="shared" si="45"/>
        <v>970</v>
      </c>
      <c r="M58" s="135">
        <f t="shared" si="46"/>
        <v>950</v>
      </c>
      <c r="N58" s="135">
        <v>3</v>
      </c>
      <c r="O58" s="135">
        <v>1.1000000000000001</v>
      </c>
      <c r="P58" s="165">
        <f t="shared" si="47"/>
        <v>11.5</v>
      </c>
      <c r="Q58" s="699">
        <f t="shared" si="48"/>
        <v>1.1000000000000001</v>
      </c>
      <c r="R58" s="700"/>
      <c r="S58" s="166" t="str">
        <f t="shared" si="49"/>
        <v>Соответствует ПТЭЭП</v>
      </c>
      <c r="T58" s="149" t="s">
        <v>440</v>
      </c>
      <c r="U58" s="167">
        <v>80</v>
      </c>
      <c r="V58" s="168">
        <v>950</v>
      </c>
      <c r="W58" s="169" t="s">
        <v>449</v>
      </c>
    </row>
    <row r="59" spans="1:23" s="341" customFormat="1" ht="32.25" customHeight="1">
      <c r="A59" s="135">
        <f t="shared" si="50"/>
        <v>33</v>
      </c>
      <c r="B59" s="146" t="s">
        <v>877</v>
      </c>
      <c r="C59" s="403" t="s">
        <v>893</v>
      </c>
      <c r="D59" s="162" t="str">
        <f t="shared" si="38"/>
        <v>~380В</v>
      </c>
      <c r="E59" s="163" t="s">
        <v>945</v>
      </c>
      <c r="F59" s="135">
        <f t="shared" si="39"/>
        <v>50</v>
      </c>
      <c r="G59" s="135">
        <f t="shared" si="40"/>
        <v>500</v>
      </c>
      <c r="H59" s="164">
        <f t="shared" si="41"/>
        <v>0.18965517241379309</v>
      </c>
      <c r="I59" s="164">
        <f t="shared" si="42"/>
        <v>0.17886178861788618</v>
      </c>
      <c r="J59" s="164">
        <f t="shared" si="43"/>
        <v>0.18333333333333332</v>
      </c>
      <c r="K59" s="135">
        <f t="shared" si="44"/>
        <v>1160</v>
      </c>
      <c r="L59" s="135">
        <f t="shared" si="45"/>
        <v>1230</v>
      </c>
      <c r="M59" s="135">
        <f t="shared" si="46"/>
        <v>1200</v>
      </c>
      <c r="N59" s="135">
        <v>3</v>
      </c>
      <c r="O59" s="135">
        <v>1.1000000000000001</v>
      </c>
      <c r="P59" s="165">
        <f t="shared" si="47"/>
        <v>23.2</v>
      </c>
      <c r="Q59" s="699">
        <f t="shared" si="48"/>
        <v>2.2999999999999998</v>
      </c>
      <c r="R59" s="700"/>
      <c r="S59" s="166" t="str">
        <f t="shared" si="49"/>
        <v>Соответствует ПТЭЭП</v>
      </c>
      <c r="T59" s="149" t="s">
        <v>440</v>
      </c>
      <c r="U59" s="167">
        <v>50</v>
      </c>
      <c r="V59" s="168">
        <v>1200</v>
      </c>
      <c r="W59" s="169" t="s">
        <v>449</v>
      </c>
    </row>
    <row r="60" spans="1:23" s="341" customFormat="1" ht="32.25" customHeight="1">
      <c r="A60" s="135">
        <f t="shared" si="50"/>
        <v>34</v>
      </c>
      <c r="B60" s="146" t="s">
        <v>877</v>
      </c>
      <c r="C60" s="403" t="s">
        <v>894</v>
      </c>
      <c r="D60" s="162" t="str">
        <f t="shared" si="38"/>
        <v>~380В</v>
      </c>
      <c r="E60" s="163" t="s">
        <v>945</v>
      </c>
      <c r="F60" s="135">
        <f t="shared" si="39"/>
        <v>25</v>
      </c>
      <c r="G60" s="135">
        <f t="shared" si="40"/>
        <v>250</v>
      </c>
      <c r="H60" s="164">
        <f t="shared" si="41"/>
        <v>0.23157894736842105</v>
      </c>
      <c r="I60" s="164">
        <f t="shared" si="42"/>
        <v>0.22</v>
      </c>
      <c r="J60" s="164">
        <f t="shared" si="43"/>
        <v>0.22448979591836735</v>
      </c>
      <c r="K60" s="135">
        <f t="shared" si="44"/>
        <v>950</v>
      </c>
      <c r="L60" s="135">
        <f t="shared" si="45"/>
        <v>1000</v>
      </c>
      <c r="M60" s="135">
        <f t="shared" si="46"/>
        <v>980</v>
      </c>
      <c r="N60" s="135">
        <v>3</v>
      </c>
      <c r="O60" s="135">
        <v>1.1000000000000001</v>
      </c>
      <c r="P60" s="165">
        <f t="shared" si="47"/>
        <v>38</v>
      </c>
      <c r="Q60" s="699">
        <f t="shared" si="48"/>
        <v>3.8</v>
      </c>
      <c r="R60" s="700"/>
      <c r="S60" s="166" t="str">
        <f t="shared" si="49"/>
        <v>Соответствует ПТЭЭП</v>
      </c>
      <c r="T60" s="149" t="s">
        <v>440</v>
      </c>
      <c r="U60" s="167">
        <v>25</v>
      </c>
      <c r="V60" s="168">
        <v>980</v>
      </c>
      <c r="W60" s="169" t="s">
        <v>449</v>
      </c>
    </row>
    <row r="61" spans="1:23" s="341" customFormat="1" ht="32.25" customHeight="1">
      <c r="A61" s="135">
        <f t="shared" si="50"/>
        <v>35</v>
      </c>
      <c r="B61" s="146" t="s">
        <v>877</v>
      </c>
      <c r="C61" s="403" t="s">
        <v>897</v>
      </c>
      <c r="D61" s="162" t="str">
        <f t="shared" si="38"/>
        <v>~380В</v>
      </c>
      <c r="E61" s="163" t="s">
        <v>945</v>
      </c>
      <c r="F61" s="135">
        <f t="shared" si="39"/>
        <v>32</v>
      </c>
      <c r="G61" s="135">
        <f t="shared" si="40"/>
        <v>320</v>
      </c>
      <c r="H61" s="164">
        <f t="shared" si="41"/>
        <v>0.18965517241379309</v>
      </c>
      <c r="I61" s="164">
        <f t="shared" si="42"/>
        <v>0.17886178861788618</v>
      </c>
      <c r="J61" s="164">
        <f t="shared" si="43"/>
        <v>0.18333333333333332</v>
      </c>
      <c r="K61" s="135">
        <f t="shared" si="44"/>
        <v>1160</v>
      </c>
      <c r="L61" s="135">
        <f t="shared" si="45"/>
        <v>1230</v>
      </c>
      <c r="M61" s="135">
        <f t="shared" si="46"/>
        <v>1200</v>
      </c>
      <c r="N61" s="135">
        <v>3</v>
      </c>
      <c r="O61" s="135">
        <v>1.1000000000000001</v>
      </c>
      <c r="P61" s="165">
        <f t="shared" si="47"/>
        <v>36.25</v>
      </c>
      <c r="Q61" s="699">
        <f t="shared" si="48"/>
        <v>3.6</v>
      </c>
      <c r="R61" s="700"/>
      <c r="S61" s="166" t="str">
        <f t="shared" si="49"/>
        <v>Соответствует ПТЭЭП</v>
      </c>
      <c r="T61" s="149" t="s">
        <v>440</v>
      </c>
      <c r="U61" s="167">
        <v>32</v>
      </c>
      <c r="V61" s="168">
        <v>1200</v>
      </c>
      <c r="W61" s="169" t="s">
        <v>449</v>
      </c>
    </row>
    <row r="62" spans="1:23" s="341" customFormat="1" ht="32.25" customHeight="1">
      <c r="A62" s="135">
        <f t="shared" si="50"/>
        <v>36</v>
      </c>
      <c r="B62" s="146" t="s">
        <v>877</v>
      </c>
      <c r="C62" s="403" t="s">
        <v>898</v>
      </c>
      <c r="D62" s="162" t="str">
        <f t="shared" si="38"/>
        <v>~380В</v>
      </c>
      <c r="E62" s="163" t="s">
        <v>945</v>
      </c>
      <c r="F62" s="135">
        <f t="shared" si="39"/>
        <v>100</v>
      </c>
      <c r="G62" s="135">
        <f t="shared" si="40"/>
        <v>1000</v>
      </c>
      <c r="H62" s="164">
        <f t="shared" si="41"/>
        <v>0.18181818181818182</v>
      </c>
      <c r="I62" s="164">
        <f t="shared" si="42"/>
        <v>0.171875</v>
      </c>
      <c r="J62" s="164">
        <f t="shared" si="43"/>
        <v>0.17599999999999999</v>
      </c>
      <c r="K62" s="135">
        <f t="shared" si="44"/>
        <v>1210</v>
      </c>
      <c r="L62" s="135">
        <f t="shared" si="45"/>
        <v>1280</v>
      </c>
      <c r="M62" s="135">
        <f t="shared" si="46"/>
        <v>1250</v>
      </c>
      <c r="N62" s="135">
        <v>3</v>
      </c>
      <c r="O62" s="135">
        <v>1.1000000000000001</v>
      </c>
      <c r="P62" s="165">
        <f t="shared" si="47"/>
        <v>12.1</v>
      </c>
      <c r="Q62" s="699">
        <f t="shared" si="48"/>
        <v>1.2</v>
      </c>
      <c r="R62" s="700"/>
      <c r="S62" s="166" t="str">
        <f t="shared" si="49"/>
        <v>Соответствует ПТЭЭП</v>
      </c>
      <c r="T62" s="149" t="s">
        <v>440</v>
      </c>
      <c r="U62" s="167">
        <v>100</v>
      </c>
      <c r="V62" s="168">
        <v>1250</v>
      </c>
      <c r="W62" s="169" t="s">
        <v>449</v>
      </c>
    </row>
    <row r="63" spans="1:23" s="341" customFormat="1" ht="32.25" customHeight="1">
      <c r="A63" s="135">
        <f t="shared" si="50"/>
        <v>37</v>
      </c>
      <c r="B63" s="146" t="s">
        <v>877</v>
      </c>
      <c r="C63" s="403" t="s">
        <v>900</v>
      </c>
      <c r="D63" s="162" t="str">
        <f t="shared" si="38"/>
        <v>~380В</v>
      </c>
      <c r="E63" s="163" t="s">
        <v>945</v>
      </c>
      <c r="F63" s="135">
        <f t="shared" si="39"/>
        <v>20</v>
      </c>
      <c r="G63" s="135">
        <f t="shared" si="40"/>
        <v>200</v>
      </c>
      <c r="H63" s="164">
        <f t="shared" si="41"/>
        <v>0.70967741935483875</v>
      </c>
      <c r="I63" s="164">
        <f t="shared" si="42"/>
        <v>0.66666666666666663</v>
      </c>
      <c r="J63" s="164">
        <f t="shared" si="43"/>
        <v>0.6875</v>
      </c>
      <c r="K63" s="135">
        <f t="shared" si="44"/>
        <v>310</v>
      </c>
      <c r="L63" s="135">
        <f t="shared" si="45"/>
        <v>330</v>
      </c>
      <c r="M63" s="135">
        <f t="shared" si="46"/>
        <v>320</v>
      </c>
      <c r="N63" s="135">
        <v>3</v>
      </c>
      <c r="O63" s="135">
        <v>1.1000000000000001</v>
      </c>
      <c r="P63" s="165">
        <f t="shared" si="47"/>
        <v>15.5</v>
      </c>
      <c r="Q63" s="699">
        <f t="shared" si="48"/>
        <v>1.5</v>
      </c>
      <c r="R63" s="700"/>
      <c r="S63" s="166" t="str">
        <f t="shared" si="49"/>
        <v>Соответствует ПТЭЭП</v>
      </c>
      <c r="T63" s="149" t="s">
        <v>440</v>
      </c>
      <c r="U63" s="167">
        <v>20</v>
      </c>
      <c r="V63" s="168">
        <v>320</v>
      </c>
      <c r="W63" s="169" t="s">
        <v>449</v>
      </c>
    </row>
    <row r="64" spans="1:23" s="341" customFormat="1" ht="32.25" customHeight="1">
      <c r="A64" s="135">
        <f t="shared" si="50"/>
        <v>38</v>
      </c>
      <c r="B64" s="146" t="s">
        <v>877</v>
      </c>
      <c r="C64" s="403" t="s">
        <v>901</v>
      </c>
      <c r="D64" s="162" t="str">
        <f t="shared" si="38"/>
        <v>~380В</v>
      </c>
      <c r="E64" s="163" t="s">
        <v>945</v>
      </c>
      <c r="F64" s="135">
        <f t="shared" si="39"/>
        <v>20</v>
      </c>
      <c r="G64" s="135">
        <f t="shared" si="40"/>
        <v>200</v>
      </c>
      <c r="H64" s="164">
        <f t="shared" si="41"/>
        <v>0.61111111111111116</v>
      </c>
      <c r="I64" s="164">
        <f t="shared" si="42"/>
        <v>0.5641025641025641</v>
      </c>
      <c r="J64" s="164">
        <f t="shared" si="43"/>
        <v>0.57894736842105265</v>
      </c>
      <c r="K64" s="135">
        <f t="shared" si="44"/>
        <v>360</v>
      </c>
      <c r="L64" s="135">
        <f t="shared" si="45"/>
        <v>390</v>
      </c>
      <c r="M64" s="135">
        <f t="shared" si="46"/>
        <v>380</v>
      </c>
      <c r="N64" s="135">
        <v>3</v>
      </c>
      <c r="O64" s="135">
        <v>1.1000000000000001</v>
      </c>
      <c r="P64" s="165">
        <f t="shared" si="47"/>
        <v>18</v>
      </c>
      <c r="Q64" s="699">
        <f t="shared" si="48"/>
        <v>1.8</v>
      </c>
      <c r="R64" s="700"/>
      <c r="S64" s="166" t="str">
        <f t="shared" si="49"/>
        <v>Соответствует ПТЭЭП</v>
      </c>
      <c r="T64" s="149" t="s">
        <v>440</v>
      </c>
      <c r="U64" s="167">
        <v>20</v>
      </c>
      <c r="V64" s="168">
        <v>380</v>
      </c>
      <c r="W64" s="169" t="s">
        <v>449</v>
      </c>
    </row>
    <row r="65" spans="1:23" s="341" customFormat="1" ht="32.25" customHeight="1">
      <c r="A65" s="135">
        <f t="shared" si="50"/>
        <v>39</v>
      </c>
      <c r="B65" s="146" t="s">
        <v>877</v>
      </c>
      <c r="C65" s="403" t="s">
        <v>902</v>
      </c>
      <c r="D65" s="162" t="str">
        <f t="shared" si="38"/>
        <v>~380В</v>
      </c>
      <c r="E65" s="163" t="s">
        <v>945</v>
      </c>
      <c r="F65" s="135">
        <f t="shared" si="39"/>
        <v>20</v>
      </c>
      <c r="G65" s="135">
        <f t="shared" si="40"/>
        <v>200</v>
      </c>
      <c r="H65" s="164">
        <f t="shared" si="41"/>
        <v>0.22680412371134021</v>
      </c>
      <c r="I65" s="164">
        <f t="shared" si="42"/>
        <v>0.21359223300970873</v>
      </c>
      <c r="J65" s="164">
        <f t="shared" si="43"/>
        <v>0.22</v>
      </c>
      <c r="K65" s="135">
        <f t="shared" si="44"/>
        <v>970</v>
      </c>
      <c r="L65" s="135">
        <f t="shared" si="45"/>
        <v>1030</v>
      </c>
      <c r="M65" s="135">
        <f t="shared" si="46"/>
        <v>1000</v>
      </c>
      <c r="N65" s="135">
        <v>3</v>
      </c>
      <c r="O65" s="135">
        <v>1.1000000000000001</v>
      </c>
      <c r="P65" s="165">
        <f t="shared" si="47"/>
        <v>48.5</v>
      </c>
      <c r="Q65" s="699">
        <f t="shared" si="48"/>
        <v>4.8</v>
      </c>
      <c r="R65" s="700"/>
      <c r="S65" s="166" t="str">
        <f t="shared" si="49"/>
        <v>Соответствует ПТЭЭП</v>
      </c>
      <c r="T65" s="149" t="s">
        <v>440</v>
      </c>
      <c r="U65" s="167">
        <v>20</v>
      </c>
      <c r="V65" s="168">
        <v>1000</v>
      </c>
      <c r="W65" s="169" t="s">
        <v>449</v>
      </c>
    </row>
    <row r="66" spans="1:23" s="341" customFormat="1" ht="32.25" customHeight="1">
      <c r="A66" s="135">
        <f t="shared" si="50"/>
        <v>40</v>
      </c>
      <c r="B66" s="146" t="s">
        <v>877</v>
      </c>
      <c r="C66" s="403" t="s">
        <v>903</v>
      </c>
      <c r="D66" s="162" t="str">
        <f t="shared" si="38"/>
        <v>~380В</v>
      </c>
      <c r="E66" s="163" t="s">
        <v>945</v>
      </c>
      <c r="F66" s="135">
        <f t="shared" si="39"/>
        <v>20</v>
      </c>
      <c r="G66" s="135">
        <f t="shared" si="40"/>
        <v>200</v>
      </c>
      <c r="H66" s="164">
        <f t="shared" si="41"/>
        <v>0.22680412371134021</v>
      </c>
      <c r="I66" s="164">
        <f t="shared" si="42"/>
        <v>0.21359223300970873</v>
      </c>
      <c r="J66" s="164">
        <f t="shared" si="43"/>
        <v>0.22</v>
      </c>
      <c r="K66" s="135">
        <f t="shared" si="44"/>
        <v>970</v>
      </c>
      <c r="L66" s="135">
        <f t="shared" si="45"/>
        <v>1030</v>
      </c>
      <c r="M66" s="135">
        <f t="shared" si="46"/>
        <v>1000</v>
      </c>
      <c r="N66" s="135">
        <v>3</v>
      </c>
      <c r="O66" s="135">
        <v>1.1000000000000001</v>
      </c>
      <c r="P66" s="165">
        <f t="shared" si="47"/>
        <v>48.5</v>
      </c>
      <c r="Q66" s="699">
        <f t="shared" si="48"/>
        <v>4.8</v>
      </c>
      <c r="R66" s="700"/>
      <c r="S66" s="166" t="str">
        <f t="shared" si="49"/>
        <v>Соответствует ПТЭЭП</v>
      </c>
      <c r="T66" s="149" t="s">
        <v>440</v>
      </c>
      <c r="U66" s="167">
        <v>20</v>
      </c>
      <c r="V66" s="168">
        <v>1000</v>
      </c>
      <c r="W66" s="169" t="s">
        <v>449</v>
      </c>
    </row>
    <row r="67" spans="1:23" s="341" customFormat="1" ht="20.100000000000001" customHeight="1">
      <c r="A67" s="73" t="str">
        <f ca="1">'Протокол №505-3'!A70</f>
        <v>ЩВ</v>
      </c>
      <c r="B67" s="74"/>
      <c r="C67" s="74"/>
      <c r="D67" s="74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  <c r="T67" s="136"/>
      <c r="U67" s="167"/>
      <c r="V67" s="168">
        <v>1250</v>
      </c>
      <c r="W67" s="169"/>
    </row>
    <row r="68" spans="1:23" s="341" customFormat="1" ht="32.25" customHeight="1">
      <c r="A68" s="135">
        <v>41</v>
      </c>
      <c r="B68" s="146" t="s">
        <v>877</v>
      </c>
      <c r="C68" s="403" t="s">
        <v>888</v>
      </c>
      <c r="D68" s="162" t="str">
        <f t="shared" ref="D68:D76" si="51">IF(T68="АВС","~380В","~220В")</f>
        <v>~380В</v>
      </c>
      <c r="E68" s="163" t="s">
        <v>945</v>
      </c>
      <c r="F68" s="135">
        <f t="shared" ref="F68:F76" si="52">U68</f>
        <v>50</v>
      </c>
      <c r="G68" s="135">
        <f t="shared" ref="G68:G76" si="53">IF(T68="ПН-2",U68,IF(W68="в",F68*5,IF(W68="С",F68*10,IF(W68="d",F68*20,F68))))</f>
        <v>500</v>
      </c>
      <c r="H68" s="164">
        <f t="shared" ref="H68:H76" si="54">IF(OR(T68="В",T68="С"),"-",220/K68)</f>
        <v>0.35483870967741937</v>
      </c>
      <c r="I68" s="164">
        <f t="shared" ref="I68:I76" si="55">IF(OR(T68="А",T68="С"),"-",220/L68)</f>
        <v>0.33846153846153848</v>
      </c>
      <c r="J68" s="164">
        <f t="shared" ref="J68:J76" si="56">IF(OR(T68="А",T68="В"),"-",220/M68)</f>
        <v>0.34375</v>
      </c>
      <c r="K68" s="135">
        <f t="shared" ref="K68:K76" si="57">IF(OR(T68="В",T68="С"),"-",TRUNC(ROUND(V68-0.03*V68,0)/10,0)*10)</f>
        <v>620</v>
      </c>
      <c r="L68" s="135">
        <f t="shared" ref="L68:L76" si="58">IF(OR(T68="А",T68="С"),"-",TRUNC(ROUND(V68+0.03*V68,0)/10,0)*10)</f>
        <v>650</v>
      </c>
      <c r="M68" s="135">
        <f t="shared" ref="M68:M76" si="59">IF(OR(T68="А",T68="В"),"-",TRUNC(V68/10,0)*10)</f>
        <v>640</v>
      </c>
      <c r="N68" s="135">
        <v>3</v>
      </c>
      <c r="O68" s="135">
        <v>1.1000000000000001</v>
      </c>
      <c r="P68" s="165">
        <f t="shared" ref="P68:P76" si="60">IF(OR(T68="АВС",T68="А"),K68/F68,IF(T68="В",L68/F68,IF(T68="С",M68/F68,K68/G68)))</f>
        <v>12.4</v>
      </c>
      <c r="Q68" s="699">
        <f t="shared" ref="Q68:Q76" si="61">IF(OR(T68="АВС",T68="А"),ROUNDDOWN(K68/G68,1),IF(T68="В",ROUNDDOWN(L68/G68,1),IF(T68="С",ROUNDDOWN(M68/G68,1),"-")))</f>
        <v>1.2</v>
      </c>
      <c r="R68" s="700"/>
      <c r="S68" s="166" t="str">
        <f t="shared" ref="S68:S76" si="62">IF(OR(Q68&lt;O68,P68&lt;N68),"Не соответствует ПТЭЭП","Соответствует ПТЭЭП")</f>
        <v>Соответствует ПТЭЭП</v>
      </c>
      <c r="T68" s="149" t="s">
        <v>440</v>
      </c>
      <c r="U68" s="167">
        <v>50</v>
      </c>
      <c r="V68" s="168">
        <v>640</v>
      </c>
      <c r="W68" s="169" t="s">
        <v>449</v>
      </c>
    </row>
    <row r="69" spans="1:23" s="341" customFormat="1" ht="32.25" customHeight="1">
      <c r="A69" s="135">
        <f t="shared" ref="A69:A76" si="63">A68+1</f>
        <v>42</v>
      </c>
      <c r="B69" s="146" t="s">
        <v>877</v>
      </c>
      <c r="C69" s="403" t="s">
        <v>897</v>
      </c>
      <c r="D69" s="162" t="str">
        <f t="shared" si="51"/>
        <v>~220В</v>
      </c>
      <c r="E69" s="163" t="s">
        <v>944</v>
      </c>
      <c r="F69" s="135">
        <f t="shared" si="52"/>
        <v>10</v>
      </c>
      <c r="G69" s="135">
        <f t="shared" si="53"/>
        <v>100</v>
      </c>
      <c r="H69" s="164" t="str">
        <f t="shared" si="54"/>
        <v>-</v>
      </c>
      <c r="I69" s="164" t="str">
        <f t="shared" si="55"/>
        <v>-</v>
      </c>
      <c r="J69" s="164">
        <f t="shared" si="56"/>
        <v>0.57894736842105265</v>
      </c>
      <c r="K69" s="135" t="str">
        <f t="shared" si="57"/>
        <v>-</v>
      </c>
      <c r="L69" s="135" t="str">
        <f t="shared" si="58"/>
        <v>-</v>
      </c>
      <c r="M69" s="135">
        <f t="shared" si="59"/>
        <v>380</v>
      </c>
      <c r="N69" s="135">
        <v>3</v>
      </c>
      <c r="O69" s="135">
        <v>1.1000000000000001</v>
      </c>
      <c r="P69" s="165">
        <f t="shared" si="60"/>
        <v>38</v>
      </c>
      <c r="Q69" s="699">
        <f t="shared" si="61"/>
        <v>3.8</v>
      </c>
      <c r="R69" s="700"/>
      <c r="S69" s="166" t="str">
        <f t="shared" si="62"/>
        <v>Соответствует ПТЭЭП</v>
      </c>
      <c r="T69" s="149" t="s">
        <v>449</v>
      </c>
      <c r="U69" s="167">
        <v>10</v>
      </c>
      <c r="V69" s="168">
        <v>380</v>
      </c>
      <c r="W69" s="169" t="s">
        <v>449</v>
      </c>
    </row>
    <row r="70" spans="1:23" s="341" customFormat="1" ht="32.25" customHeight="1">
      <c r="A70" s="135">
        <f t="shared" si="63"/>
        <v>43</v>
      </c>
      <c r="B70" s="146" t="s">
        <v>877</v>
      </c>
      <c r="C70" s="403" t="s">
        <v>898</v>
      </c>
      <c r="D70" s="162" t="str">
        <f t="shared" si="51"/>
        <v>~220В</v>
      </c>
      <c r="E70" s="163" t="s">
        <v>944</v>
      </c>
      <c r="F70" s="135">
        <f t="shared" si="52"/>
        <v>10</v>
      </c>
      <c r="G70" s="135">
        <f t="shared" si="53"/>
        <v>100</v>
      </c>
      <c r="H70" s="164">
        <f t="shared" si="54"/>
        <v>0.62857142857142856</v>
      </c>
      <c r="I70" s="164" t="str">
        <f t="shared" si="55"/>
        <v>-</v>
      </c>
      <c r="J70" s="164" t="str">
        <f t="shared" si="56"/>
        <v>-</v>
      </c>
      <c r="K70" s="135">
        <f t="shared" si="57"/>
        <v>350</v>
      </c>
      <c r="L70" s="135" t="str">
        <f t="shared" si="58"/>
        <v>-</v>
      </c>
      <c r="M70" s="135" t="str">
        <f t="shared" si="59"/>
        <v>-</v>
      </c>
      <c r="N70" s="135">
        <v>3</v>
      </c>
      <c r="O70" s="135">
        <v>1.1000000000000001</v>
      </c>
      <c r="P70" s="165">
        <f t="shared" si="60"/>
        <v>35</v>
      </c>
      <c r="Q70" s="699">
        <f t="shared" si="61"/>
        <v>3.5</v>
      </c>
      <c r="R70" s="700"/>
      <c r="S70" s="166" t="str">
        <f t="shared" si="62"/>
        <v>Соответствует ПТЭЭП</v>
      </c>
      <c r="T70" s="149" t="s">
        <v>448</v>
      </c>
      <c r="U70" s="167">
        <v>10</v>
      </c>
      <c r="V70" s="168">
        <v>370</v>
      </c>
      <c r="W70" s="169" t="s">
        <v>449</v>
      </c>
    </row>
    <row r="71" spans="1:23" s="341" customFormat="1" ht="37.5" customHeight="1">
      <c r="A71" s="135">
        <f t="shared" si="63"/>
        <v>44</v>
      </c>
      <c r="B71" s="146" t="s">
        <v>877</v>
      </c>
      <c r="C71" s="403" t="s">
        <v>900</v>
      </c>
      <c r="D71" s="162" t="str">
        <f t="shared" si="51"/>
        <v>~220В</v>
      </c>
      <c r="E71" s="163" t="s">
        <v>944</v>
      </c>
      <c r="F71" s="135">
        <f t="shared" si="52"/>
        <v>10</v>
      </c>
      <c r="G71" s="135">
        <f t="shared" si="53"/>
        <v>100</v>
      </c>
      <c r="H71" s="164" t="str">
        <f t="shared" si="54"/>
        <v>-</v>
      </c>
      <c r="I71" s="164">
        <f t="shared" si="55"/>
        <v>0.59459459459459463</v>
      </c>
      <c r="J71" s="164" t="str">
        <f t="shared" si="56"/>
        <v>-</v>
      </c>
      <c r="K71" s="135" t="str">
        <f t="shared" si="57"/>
        <v>-</v>
      </c>
      <c r="L71" s="135">
        <f t="shared" si="58"/>
        <v>370</v>
      </c>
      <c r="M71" s="135" t="str">
        <f t="shared" si="59"/>
        <v>-</v>
      </c>
      <c r="N71" s="135">
        <v>3</v>
      </c>
      <c r="O71" s="135">
        <v>1.1000000000000001</v>
      </c>
      <c r="P71" s="165">
        <f t="shared" si="60"/>
        <v>37</v>
      </c>
      <c r="Q71" s="699">
        <f t="shared" si="61"/>
        <v>3.7</v>
      </c>
      <c r="R71" s="700"/>
      <c r="S71" s="166" t="str">
        <f t="shared" si="62"/>
        <v>Соответствует ПТЭЭП</v>
      </c>
      <c r="T71" s="149" t="s">
        <v>441</v>
      </c>
      <c r="U71" s="167">
        <v>10</v>
      </c>
      <c r="V71" s="168">
        <v>360</v>
      </c>
      <c r="W71" s="169" t="s">
        <v>449</v>
      </c>
    </row>
    <row r="72" spans="1:23" s="341" customFormat="1" ht="36.75" customHeight="1">
      <c r="A72" s="135">
        <f t="shared" si="63"/>
        <v>45</v>
      </c>
      <c r="B72" s="146" t="s">
        <v>877</v>
      </c>
      <c r="C72" s="403" t="s">
        <v>901</v>
      </c>
      <c r="D72" s="162" t="str">
        <f t="shared" si="51"/>
        <v>~220В</v>
      </c>
      <c r="E72" s="163" t="s">
        <v>944</v>
      </c>
      <c r="F72" s="135">
        <f t="shared" si="52"/>
        <v>10</v>
      </c>
      <c r="G72" s="135">
        <f t="shared" si="53"/>
        <v>100</v>
      </c>
      <c r="H72" s="164" t="str">
        <f t="shared" si="54"/>
        <v>-</v>
      </c>
      <c r="I72" s="164" t="str">
        <f t="shared" si="55"/>
        <v>-</v>
      </c>
      <c r="J72" s="164">
        <f t="shared" si="56"/>
        <v>0.62857142857142856</v>
      </c>
      <c r="K72" s="135" t="str">
        <f t="shared" si="57"/>
        <v>-</v>
      </c>
      <c r="L72" s="135" t="str">
        <f t="shared" si="58"/>
        <v>-</v>
      </c>
      <c r="M72" s="135">
        <f t="shared" si="59"/>
        <v>350</v>
      </c>
      <c r="N72" s="135">
        <v>3</v>
      </c>
      <c r="O72" s="135">
        <v>1.1000000000000001</v>
      </c>
      <c r="P72" s="165">
        <f t="shared" si="60"/>
        <v>35</v>
      </c>
      <c r="Q72" s="699">
        <f t="shared" si="61"/>
        <v>3.5</v>
      </c>
      <c r="R72" s="700"/>
      <c r="S72" s="166" t="str">
        <f t="shared" si="62"/>
        <v>Соответствует ПТЭЭП</v>
      </c>
      <c r="T72" s="149" t="s">
        <v>449</v>
      </c>
      <c r="U72" s="167">
        <v>10</v>
      </c>
      <c r="V72" s="168">
        <v>350</v>
      </c>
      <c r="W72" s="169" t="s">
        <v>449</v>
      </c>
    </row>
    <row r="73" spans="1:23" s="341" customFormat="1" ht="35.25" customHeight="1">
      <c r="A73" s="135">
        <f t="shared" si="63"/>
        <v>46</v>
      </c>
      <c r="B73" s="146" t="s">
        <v>877</v>
      </c>
      <c r="C73" s="403" t="s">
        <v>902</v>
      </c>
      <c r="D73" s="162" t="str">
        <f t="shared" si="51"/>
        <v>~220В</v>
      </c>
      <c r="E73" s="163" t="s">
        <v>944</v>
      </c>
      <c r="F73" s="135">
        <f t="shared" si="52"/>
        <v>10</v>
      </c>
      <c r="G73" s="135">
        <f t="shared" si="53"/>
        <v>100</v>
      </c>
      <c r="H73" s="164">
        <f t="shared" si="54"/>
        <v>0.66666666666666663</v>
      </c>
      <c r="I73" s="164" t="str">
        <f t="shared" si="55"/>
        <v>-</v>
      </c>
      <c r="J73" s="164" t="str">
        <f t="shared" si="56"/>
        <v>-</v>
      </c>
      <c r="K73" s="135">
        <f t="shared" si="57"/>
        <v>330</v>
      </c>
      <c r="L73" s="135" t="str">
        <f t="shared" si="58"/>
        <v>-</v>
      </c>
      <c r="M73" s="135" t="str">
        <f t="shared" si="59"/>
        <v>-</v>
      </c>
      <c r="N73" s="135">
        <v>3</v>
      </c>
      <c r="O73" s="135">
        <v>1.1000000000000001</v>
      </c>
      <c r="P73" s="165">
        <f t="shared" si="60"/>
        <v>33</v>
      </c>
      <c r="Q73" s="699">
        <f t="shared" si="61"/>
        <v>3.3</v>
      </c>
      <c r="R73" s="700"/>
      <c r="S73" s="166" t="str">
        <f t="shared" si="62"/>
        <v>Соответствует ПТЭЭП</v>
      </c>
      <c r="T73" s="149" t="s">
        <v>448</v>
      </c>
      <c r="U73" s="167">
        <v>10</v>
      </c>
      <c r="V73" s="168">
        <v>340</v>
      </c>
      <c r="W73" s="169" t="s">
        <v>449</v>
      </c>
    </row>
    <row r="74" spans="1:23" s="341" customFormat="1" ht="32.25" customHeight="1">
      <c r="A74" s="135">
        <f t="shared" si="63"/>
        <v>47</v>
      </c>
      <c r="B74" s="146" t="s">
        <v>877</v>
      </c>
      <c r="C74" s="403" t="s">
        <v>903</v>
      </c>
      <c r="D74" s="162" t="str">
        <f t="shared" si="51"/>
        <v>~220В</v>
      </c>
      <c r="E74" s="163" t="s">
        <v>944</v>
      </c>
      <c r="F74" s="135">
        <f t="shared" si="52"/>
        <v>10</v>
      </c>
      <c r="G74" s="135">
        <f t="shared" si="53"/>
        <v>100</v>
      </c>
      <c r="H74" s="164" t="str">
        <f t="shared" si="54"/>
        <v>-</v>
      </c>
      <c r="I74" s="164" t="str">
        <f t="shared" si="55"/>
        <v>-</v>
      </c>
      <c r="J74" s="164">
        <f t="shared" si="56"/>
        <v>0.66666666666666663</v>
      </c>
      <c r="K74" s="135" t="str">
        <f t="shared" si="57"/>
        <v>-</v>
      </c>
      <c r="L74" s="135" t="str">
        <f t="shared" si="58"/>
        <v>-</v>
      </c>
      <c r="M74" s="135">
        <f t="shared" si="59"/>
        <v>330</v>
      </c>
      <c r="N74" s="135">
        <v>3</v>
      </c>
      <c r="O74" s="135">
        <v>1.1000000000000001</v>
      </c>
      <c r="P74" s="165">
        <f t="shared" si="60"/>
        <v>33</v>
      </c>
      <c r="Q74" s="699">
        <f t="shared" si="61"/>
        <v>3.3</v>
      </c>
      <c r="R74" s="700"/>
      <c r="S74" s="166" t="str">
        <f t="shared" si="62"/>
        <v>Соответствует ПТЭЭП</v>
      </c>
      <c r="T74" s="149" t="s">
        <v>449</v>
      </c>
      <c r="U74" s="167">
        <v>10</v>
      </c>
      <c r="V74" s="168">
        <v>330</v>
      </c>
      <c r="W74" s="169" t="s">
        <v>449</v>
      </c>
    </row>
    <row r="75" spans="1:23" s="341" customFormat="1" ht="32.25" customHeight="1">
      <c r="A75" s="135">
        <f t="shared" si="63"/>
        <v>48</v>
      </c>
      <c r="B75" s="146" t="s">
        <v>877</v>
      </c>
      <c r="C75" s="403" t="s">
        <v>904</v>
      </c>
      <c r="D75" s="162" t="str">
        <f t="shared" si="51"/>
        <v>~220В</v>
      </c>
      <c r="E75" s="163" t="s">
        <v>944</v>
      </c>
      <c r="F75" s="135">
        <f t="shared" si="52"/>
        <v>10</v>
      </c>
      <c r="G75" s="135">
        <f t="shared" si="53"/>
        <v>100</v>
      </c>
      <c r="H75" s="164" t="str">
        <f t="shared" si="54"/>
        <v>-</v>
      </c>
      <c r="I75" s="164" t="str">
        <f t="shared" si="55"/>
        <v>-</v>
      </c>
      <c r="J75" s="164">
        <f t="shared" si="56"/>
        <v>0.70967741935483875</v>
      </c>
      <c r="K75" s="135" t="str">
        <f t="shared" si="57"/>
        <v>-</v>
      </c>
      <c r="L75" s="135" t="str">
        <f t="shared" si="58"/>
        <v>-</v>
      </c>
      <c r="M75" s="135">
        <f t="shared" si="59"/>
        <v>310</v>
      </c>
      <c r="N75" s="135">
        <v>3</v>
      </c>
      <c r="O75" s="135">
        <v>1.1000000000000001</v>
      </c>
      <c r="P75" s="165">
        <f t="shared" si="60"/>
        <v>31</v>
      </c>
      <c r="Q75" s="699">
        <f t="shared" si="61"/>
        <v>3.1</v>
      </c>
      <c r="R75" s="700"/>
      <c r="S75" s="166" t="str">
        <f t="shared" si="62"/>
        <v>Соответствует ПТЭЭП</v>
      </c>
      <c r="T75" s="149" t="s">
        <v>449</v>
      </c>
      <c r="U75" s="167">
        <v>10</v>
      </c>
      <c r="V75" s="168">
        <v>310</v>
      </c>
      <c r="W75" s="169" t="s">
        <v>449</v>
      </c>
    </row>
    <row r="76" spans="1:23" s="341" customFormat="1" ht="32.25" customHeight="1">
      <c r="A76" s="135">
        <f t="shared" si="63"/>
        <v>49</v>
      </c>
      <c r="B76" s="146" t="s">
        <v>877</v>
      </c>
      <c r="C76" s="403" t="s">
        <v>906</v>
      </c>
      <c r="D76" s="162" t="str">
        <f t="shared" si="51"/>
        <v>~220В</v>
      </c>
      <c r="E76" s="163" t="s">
        <v>944</v>
      </c>
      <c r="F76" s="135">
        <f t="shared" si="52"/>
        <v>10</v>
      </c>
      <c r="G76" s="135">
        <f t="shared" si="53"/>
        <v>100</v>
      </c>
      <c r="H76" s="164">
        <f t="shared" si="54"/>
        <v>0.75862068965517238</v>
      </c>
      <c r="I76" s="164" t="str">
        <f t="shared" si="55"/>
        <v>-</v>
      </c>
      <c r="J76" s="164" t="str">
        <f t="shared" si="56"/>
        <v>-</v>
      </c>
      <c r="K76" s="135">
        <f t="shared" si="57"/>
        <v>290</v>
      </c>
      <c r="L76" s="135" t="str">
        <f t="shared" si="58"/>
        <v>-</v>
      </c>
      <c r="M76" s="135" t="str">
        <f t="shared" si="59"/>
        <v>-</v>
      </c>
      <c r="N76" s="135">
        <v>3</v>
      </c>
      <c r="O76" s="135">
        <v>1.1000000000000001</v>
      </c>
      <c r="P76" s="165">
        <f t="shared" si="60"/>
        <v>29</v>
      </c>
      <c r="Q76" s="699">
        <f t="shared" si="61"/>
        <v>2.9</v>
      </c>
      <c r="R76" s="700"/>
      <c r="S76" s="166" t="str">
        <f t="shared" si="62"/>
        <v>Соответствует ПТЭЭП</v>
      </c>
      <c r="T76" s="149" t="s">
        <v>448</v>
      </c>
      <c r="U76" s="167">
        <v>10</v>
      </c>
      <c r="V76" s="168">
        <v>300</v>
      </c>
      <c r="W76" s="169" t="s">
        <v>449</v>
      </c>
    </row>
    <row r="77" spans="1:23" s="341" customFormat="1" ht="20.100000000000001" customHeight="1">
      <c r="A77" s="73" t="str">
        <f ca="1">'Протокол №505-3'!A80</f>
        <v>ЩС-3</v>
      </c>
      <c r="B77" s="74"/>
      <c r="C77" s="74"/>
      <c r="D77" s="74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60"/>
      <c r="T77" s="136"/>
      <c r="U77" s="167"/>
      <c r="V77" s="168">
        <v>1200</v>
      </c>
      <c r="W77" s="169"/>
    </row>
    <row r="78" spans="1:23" s="341" customFormat="1" ht="32.25" customHeight="1">
      <c r="A78" s="135">
        <v>50</v>
      </c>
      <c r="B78" s="146" t="s">
        <v>877</v>
      </c>
      <c r="C78" s="403" t="s">
        <v>878</v>
      </c>
      <c r="D78" s="162" t="str">
        <f t="shared" ref="D78:D89" si="64">IF(T78="АВС","~380В","~220В")</f>
        <v>~220В</v>
      </c>
      <c r="E78" s="163" t="s">
        <v>943</v>
      </c>
      <c r="F78" s="135">
        <f t="shared" ref="F78:F89" si="65">U78</f>
        <v>16</v>
      </c>
      <c r="G78" s="135">
        <f t="shared" ref="G78:G89" si="66">IF(T78="ПН-2",U78,IF(W78="в",F78*5,IF(W78="С",F78*10,IF(W78="d",F78*20,F78))))</f>
        <v>160</v>
      </c>
      <c r="H78" s="164">
        <f t="shared" ref="H78:H89" si="67">IF(OR(T78="В",T78="С"),"-",220/K78)</f>
        <v>0.66666666666666663</v>
      </c>
      <c r="I78" s="164" t="str">
        <f t="shared" ref="I78:I89" si="68">IF(OR(T78="А",T78="С"),"-",220/L78)</f>
        <v>-</v>
      </c>
      <c r="J78" s="164" t="str">
        <f t="shared" ref="J78:J89" si="69">IF(OR(T78="А",T78="В"),"-",220/M78)</f>
        <v>-</v>
      </c>
      <c r="K78" s="135">
        <f t="shared" ref="K78:K89" si="70">IF(OR(T78="В",T78="С"),"-",TRUNC(ROUND(V78-0.03*V78,0)/10,0)*10)</f>
        <v>330</v>
      </c>
      <c r="L78" s="135" t="str">
        <f t="shared" ref="L78:L89" si="71">IF(OR(T78="А",T78="С"),"-",TRUNC(ROUND(V78+0.03*V78,0)/10,0)*10)</f>
        <v>-</v>
      </c>
      <c r="M78" s="135" t="str">
        <f t="shared" ref="M78:M89" si="72">IF(OR(T78="А",T78="В"),"-",TRUNC(V78/10,0)*10)</f>
        <v>-</v>
      </c>
      <c r="N78" s="135">
        <v>3</v>
      </c>
      <c r="O78" s="135">
        <v>1.1000000000000001</v>
      </c>
      <c r="P78" s="165">
        <f t="shared" ref="P78:P89" si="73">IF(OR(T78="АВС",T78="А"),K78/F78,IF(T78="В",L78/F78,IF(T78="С",M78/F78,K78/G78)))</f>
        <v>20.625</v>
      </c>
      <c r="Q78" s="699">
        <f t="shared" ref="Q78:Q89" si="74">IF(OR(T78="АВС",T78="А"),ROUNDDOWN(K78/G78,1),IF(T78="В",ROUNDDOWN(L78/G78,1),IF(T78="С",ROUNDDOWN(M78/G78,1),"-")))</f>
        <v>2</v>
      </c>
      <c r="R78" s="700"/>
      <c r="S78" s="166" t="str">
        <f t="shared" ref="S78:S89" si="75">IF(OR(Q78&lt;O78,P78&lt;N78),"Не соответствует ПТЭЭП","Соответствует ПТЭЭП")</f>
        <v>Соответствует ПТЭЭП</v>
      </c>
      <c r="T78" s="149" t="s">
        <v>448</v>
      </c>
      <c r="U78" s="167">
        <v>16</v>
      </c>
      <c r="V78" s="168">
        <v>340</v>
      </c>
      <c r="W78" s="169" t="s">
        <v>449</v>
      </c>
    </row>
    <row r="79" spans="1:23" s="341" customFormat="1" ht="32.25" customHeight="1">
      <c r="A79" s="135">
        <f t="shared" ref="A79:A89" si="76">A78+1</f>
        <v>51</v>
      </c>
      <c r="B79" s="146" t="s">
        <v>877</v>
      </c>
      <c r="C79" s="403" t="s">
        <v>881</v>
      </c>
      <c r="D79" s="162" t="str">
        <f t="shared" si="64"/>
        <v>~220В</v>
      </c>
      <c r="E79" s="163" t="s">
        <v>943</v>
      </c>
      <c r="F79" s="135">
        <f t="shared" si="65"/>
        <v>16</v>
      </c>
      <c r="G79" s="135">
        <f t="shared" si="66"/>
        <v>160</v>
      </c>
      <c r="H79" s="164" t="str">
        <f t="shared" si="67"/>
        <v>-</v>
      </c>
      <c r="I79" s="164">
        <f t="shared" si="68"/>
        <v>0.6470588235294118</v>
      </c>
      <c r="J79" s="164" t="str">
        <f t="shared" si="69"/>
        <v>-</v>
      </c>
      <c r="K79" s="135" t="str">
        <f t="shared" si="70"/>
        <v>-</v>
      </c>
      <c r="L79" s="135">
        <f t="shared" si="71"/>
        <v>340</v>
      </c>
      <c r="M79" s="135" t="str">
        <f t="shared" si="72"/>
        <v>-</v>
      </c>
      <c r="N79" s="135">
        <v>3</v>
      </c>
      <c r="O79" s="135">
        <v>1.1000000000000001</v>
      </c>
      <c r="P79" s="165">
        <f t="shared" si="73"/>
        <v>21.25</v>
      </c>
      <c r="Q79" s="699">
        <f t="shared" si="74"/>
        <v>2.1</v>
      </c>
      <c r="R79" s="700"/>
      <c r="S79" s="166" t="str">
        <f t="shared" si="75"/>
        <v>Соответствует ПТЭЭП</v>
      </c>
      <c r="T79" s="149" t="s">
        <v>441</v>
      </c>
      <c r="U79" s="167">
        <v>16</v>
      </c>
      <c r="V79" s="168">
        <v>330</v>
      </c>
      <c r="W79" s="169" t="s">
        <v>449</v>
      </c>
    </row>
    <row r="80" spans="1:23" s="341" customFormat="1" ht="32.25" customHeight="1">
      <c r="A80" s="135">
        <f t="shared" si="76"/>
        <v>52</v>
      </c>
      <c r="B80" s="146" t="s">
        <v>877</v>
      </c>
      <c r="C80" s="403" t="s">
        <v>882</v>
      </c>
      <c r="D80" s="162" t="str">
        <f t="shared" si="64"/>
        <v>~220В</v>
      </c>
      <c r="E80" s="163" t="s">
        <v>943</v>
      </c>
      <c r="F80" s="135">
        <f t="shared" si="65"/>
        <v>16</v>
      </c>
      <c r="G80" s="135">
        <f t="shared" si="66"/>
        <v>160</v>
      </c>
      <c r="H80" s="164" t="str">
        <f t="shared" si="67"/>
        <v>-</v>
      </c>
      <c r="I80" s="164" t="str">
        <f t="shared" si="68"/>
        <v>-</v>
      </c>
      <c r="J80" s="164">
        <f t="shared" si="69"/>
        <v>0.6875</v>
      </c>
      <c r="K80" s="135" t="str">
        <f t="shared" si="70"/>
        <v>-</v>
      </c>
      <c r="L80" s="135" t="str">
        <f t="shared" si="71"/>
        <v>-</v>
      </c>
      <c r="M80" s="135">
        <f t="shared" si="72"/>
        <v>320</v>
      </c>
      <c r="N80" s="135">
        <v>3</v>
      </c>
      <c r="O80" s="135">
        <v>1.1000000000000001</v>
      </c>
      <c r="P80" s="165">
        <f t="shared" si="73"/>
        <v>20</v>
      </c>
      <c r="Q80" s="699">
        <f t="shared" si="74"/>
        <v>2</v>
      </c>
      <c r="R80" s="700"/>
      <c r="S80" s="166" t="str">
        <f t="shared" si="75"/>
        <v>Соответствует ПТЭЭП</v>
      </c>
      <c r="T80" s="149" t="s">
        <v>449</v>
      </c>
      <c r="U80" s="167">
        <v>16</v>
      </c>
      <c r="V80" s="168">
        <v>320</v>
      </c>
      <c r="W80" s="169" t="s">
        <v>449</v>
      </c>
    </row>
    <row r="81" spans="1:23" s="341" customFormat="1" ht="32.25" customHeight="1">
      <c r="A81" s="135">
        <f t="shared" si="76"/>
        <v>53</v>
      </c>
      <c r="B81" s="146" t="s">
        <v>877</v>
      </c>
      <c r="C81" s="403" t="s">
        <v>883</v>
      </c>
      <c r="D81" s="162" t="str">
        <f t="shared" si="64"/>
        <v>~220В</v>
      </c>
      <c r="E81" s="163" t="s">
        <v>943</v>
      </c>
      <c r="F81" s="135">
        <f t="shared" si="65"/>
        <v>16</v>
      </c>
      <c r="G81" s="135">
        <f t="shared" si="66"/>
        <v>160</v>
      </c>
      <c r="H81" s="164">
        <f t="shared" si="67"/>
        <v>0.73333333333333328</v>
      </c>
      <c r="I81" s="164" t="str">
        <f t="shared" si="68"/>
        <v>-</v>
      </c>
      <c r="J81" s="164" t="str">
        <f t="shared" si="69"/>
        <v>-</v>
      </c>
      <c r="K81" s="135">
        <f t="shared" si="70"/>
        <v>300</v>
      </c>
      <c r="L81" s="135" t="str">
        <f t="shared" si="71"/>
        <v>-</v>
      </c>
      <c r="M81" s="135" t="str">
        <f t="shared" si="72"/>
        <v>-</v>
      </c>
      <c r="N81" s="135">
        <v>3</v>
      </c>
      <c r="O81" s="135">
        <v>1.1000000000000001</v>
      </c>
      <c r="P81" s="165">
        <f t="shared" si="73"/>
        <v>18.75</v>
      </c>
      <c r="Q81" s="699">
        <f t="shared" si="74"/>
        <v>1.8</v>
      </c>
      <c r="R81" s="700"/>
      <c r="S81" s="166" t="str">
        <f t="shared" si="75"/>
        <v>Соответствует ПТЭЭП</v>
      </c>
      <c r="T81" s="149" t="s">
        <v>448</v>
      </c>
      <c r="U81" s="167">
        <v>16</v>
      </c>
      <c r="V81" s="168">
        <v>310</v>
      </c>
      <c r="W81" s="169" t="s">
        <v>449</v>
      </c>
    </row>
    <row r="82" spans="1:23" s="341" customFormat="1" ht="32.25" customHeight="1">
      <c r="A82" s="135">
        <f t="shared" si="76"/>
        <v>54</v>
      </c>
      <c r="B82" s="146" t="s">
        <v>877</v>
      </c>
      <c r="C82" s="403" t="s">
        <v>884</v>
      </c>
      <c r="D82" s="162" t="str">
        <f t="shared" si="64"/>
        <v>~220В</v>
      </c>
      <c r="E82" s="163" t="s">
        <v>943</v>
      </c>
      <c r="F82" s="135">
        <f t="shared" si="65"/>
        <v>16</v>
      </c>
      <c r="G82" s="135">
        <f t="shared" si="66"/>
        <v>160</v>
      </c>
      <c r="H82" s="164" t="str">
        <f t="shared" si="67"/>
        <v>-</v>
      </c>
      <c r="I82" s="164">
        <f t="shared" si="68"/>
        <v>0.70967741935483875</v>
      </c>
      <c r="J82" s="164" t="str">
        <f t="shared" si="69"/>
        <v>-</v>
      </c>
      <c r="K82" s="135" t="str">
        <f t="shared" si="70"/>
        <v>-</v>
      </c>
      <c r="L82" s="135">
        <f t="shared" si="71"/>
        <v>310</v>
      </c>
      <c r="M82" s="135" t="str">
        <f t="shared" si="72"/>
        <v>-</v>
      </c>
      <c r="N82" s="135">
        <v>3</v>
      </c>
      <c r="O82" s="135">
        <v>1.1000000000000001</v>
      </c>
      <c r="P82" s="165">
        <f t="shared" si="73"/>
        <v>19.375</v>
      </c>
      <c r="Q82" s="699">
        <f t="shared" si="74"/>
        <v>1.9</v>
      </c>
      <c r="R82" s="700"/>
      <c r="S82" s="166" t="str">
        <f t="shared" si="75"/>
        <v>Соответствует ПТЭЭП</v>
      </c>
      <c r="T82" s="149" t="s">
        <v>441</v>
      </c>
      <c r="U82" s="167">
        <v>16</v>
      </c>
      <c r="V82" s="168">
        <v>305</v>
      </c>
      <c r="W82" s="169" t="s">
        <v>449</v>
      </c>
    </row>
    <row r="83" spans="1:23" s="341" customFormat="1" ht="32.25" customHeight="1">
      <c r="A83" s="135">
        <f t="shared" si="76"/>
        <v>55</v>
      </c>
      <c r="B83" s="146" t="s">
        <v>877</v>
      </c>
      <c r="C83" s="403" t="s">
        <v>885</v>
      </c>
      <c r="D83" s="162" t="str">
        <f t="shared" si="64"/>
        <v>~220В</v>
      </c>
      <c r="E83" s="163" t="s">
        <v>943</v>
      </c>
      <c r="F83" s="135">
        <f t="shared" si="65"/>
        <v>16</v>
      </c>
      <c r="G83" s="135">
        <f t="shared" si="66"/>
        <v>160</v>
      </c>
      <c r="H83" s="164" t="str">
        <f t="shared" si="67"/>
        <v>-</v>
      </c>
      <c r="I83" s="164" t="str">
        <f t="shared" si="68"/>
        <v>-</v>
      </c>
      <c r="J83" s="164">
        <f t="shared" si="69"/>
        <v>0.73333333333333328</v>
      </c>
      <c r="K83" s="135" t="str">
        <f t="shared" si="70"/>
        <v>-</v>
      </c>
      <c r="L83" s="135" t="str">
        <f t="shared" si="71"/>
        <v>-</v>
      </c>
      <c r="M83" s="135">
        <f t="shared" si="72"/>
        <v>300</v>
      </c>
      <c r="N83" s="135">
        <v>3</v>
      </c>
      <c r="O83" s="135">
        <v>1.1000000000000001</v>
      </c>
      <c r="P83" s="165">
        <f t="shared" si="73"/>
        <v>18.75</v>
      </c>
      <c r="Q83" s="699">
        <f t="shared" si="74"/>
        <v>1.8</v>
      </c>
      <c r="R83" s="700"/>
      <c r="S83" s="166" t="str">
        <f t="shared" si="75"/>
        <v>Соответствует ПТЭЭП</v>
      </c>
      <c r="T83" s="149" t="s">
        <v>449</v>
      </c>
      <c r="U83" s="167">
        <v>16</v>
      </c>
      <c r="V83" s="168">
        <v>300</v>
      </c>
      <c r="W83" s="169" t="s">
        <v>449</v>
      </c>
    </row>
    <row r="84" spans="1:23" s="341" customFormat="1" ht="32.25" customHeight="1">
      <c r="A84" s="135">
        <f t="shared" si="76"/>
        <v>56</v>
      </c>
      <c r="B84" s="146" t="s">
        <v>877</v>
      </c>
      <c r="C84" s="403" t="s">
        <v>886</v>
      </c>
      <c r="D84" s="162" t="str">
        <f t="shared" si="64"/>
        <v>~220В</v>
      </c>
      <c r="E84" s="163" t="s">
        <v>943</v>
      </c>
      <c r="F84" s="135">
        <f t="shared" si="65"/>
        <v>16</v>
      </c>
      <c r="G84" s="135">
        <f t="shared" si="66"/>
        <v>160</v>
      </c>
      <c r="H84" s="164">
        <f t="shared" si="67"/>
        <v>0.7857142857142857</v>
      </c>
      <c r="I84" s="164" t="str">
        <f t="shared" si="68"/>
        <v>-</v>
      </c>
      <c r="J84" s="164" t="str">
        <f t="shared" si="69"/>
        <v>-</v>
      </c>
      <c r="K84" s="135">
        <f t="shared" si="70"/>
        <v>280</v>
      </c>
      <c r="L84" s="135" t="str">
        <f t="shared" si="71"/>
        <v>-</v>
      </c>
      <c r="M84" s="135" t="str">
        <f t="shared" si="72"/>
        <v>-</v>
      </c>
      <c r="N84" s="135">
        <v>3</v>
      </c>
      <c r="O84" s="135">
        <v>1.1000000000000001</v>
      </c>
      <c r="P84" s="165">
        <f t="shared" si="73"/>
        <v>17.5</v>
      </c>
      <c r="Q84" s="699">
        <f t="shared" si="74"/>
        <v>1.7</v>
      </c>
      <c r="R84" s="700"/>
      <c r="S84" s="166" t="str">
        <f t="shared" si="75"/>
        <v>Соответствует ПТЭЭП</v>
      </c>
      <c r="T84" s="149" t="s">
        <v>448</v>
      </c>
      <c r="U84" s="167">
        <v>16</v>
      </c>
      <c r="V84" s="168">
        <v>295</v>
      </c>
      <c r="W84" s="169" t="s">
        <v>449</v>
      </c>
    </row>
    <row r="85" spans="1:23" s="341" customFormat="1" ht="32.25" customHeight="1">
      <c r="A85" s="135">
        <f t="shared" si="76"/>
        <v>57</v>
      </c>
      <c r="B85" s="146" t="s">
        <v>877</v>
      </c>
      <c r="C85" s="403" t="s">
        <v>887</v>
      </c>
      <c r="D85" s="162" t="str">
        <f t="shared" si="64"/>
        <v>~220В</v>
      </c>
      <c r="E85" s="163" t="s">
        <v>943</v>
      </c>
      <c r="F85" s="135">
        <f t="shared" si="65"/>
        <v>16</v>
      </c>
      <c r="G85" s="135">
        <f t="shared" si="66"/>
        <v>160</v>
      </c>
      <c r="H85" s="164" t="str">
        <f t="shared" si="67"/>
        <v>-</v>
      </c>
      <c r="I85" s="164">
        <f t="shared" si="68"/>
        <v>0.75862068965517238</v>
      </c>
      <c r="J85" s="164" t="str">
        <f t="shared" si="69"/>
        <v>-</v>
      </c>
      <c r="K85" s="135" t="str">
        <f t="shared" si="70"/>
        <v>-</v>
      </c>
      <c r="L85" s="135">
        <f t="shared" si="71"/>
        <v>290</v>
      </c>
      <c r="M85" s="135" t="str">
        <f t="shared" si="72"/>
        <v>-</v>
      </c>
      <c r="N85" s="135">
        <v>3</v>
      </c>
      <c r="O85" s="135">
        <v>1.1000000000000001</v>
      </c>
      <c r="P85" s="165">
        <f t="shared" si="73"/>
        <v>18.125</v>
      </c>
      <c r="Q85" s="699">
        <f t="shared" si="74"/>
        <v>1.8</v>
      </c>
      <c r="R85" s="700"/>
      <c r="S85" s="166" t="str">
        <f t="shared" si="75"/>
        <v>Соответствует ПТЭЭП</v>
      </c>
      <c r="T85" s="149" t="s">
        <v>441</v>
      </c>
      <c r="U85" s="167">
        <v>16</v>
      </c>
      <c r="V85" s="168">
        <v>290</v>
      </c>
      <c r="W85" s="169" t="s">
        <v>449</v>
      </c>
    </row>
    <row r="86" spans="1:23" s="341" customFormat="1" ht="32.25" customHeight="1">
      <c r="A86" s="135">
        <f t="shared" si="76"/>
        <v>58</v>
      </c>
      <c r="B86" s="146" t="s">
        <v>877</v>
      </c>
      <c r="C86" s="403" t="s">
        <v>907</v>
      </c>
      <c r="D86" s="162" t="str">
        <f t="shared" si="64"/>
        <v>~220В</v>
      </c>
      <c r="E86" s="163" t="s">
        <v>943</v>
      </c>
      <c r="F86" s="135">
        <f t="shared" si="65"/>
        <v>16</v>
      </c>
      <c r="G86" s="135">
        <f t="shared" si="66"/>
        <v>160</v>
      </c>
      <c r="H86" s="164" t="str">
        <f t="shared" si="67"/>
        <v>-</v>
      </c>
      <c r="I86" s="164" t="str">
        <f t="shared" si="68"/>
        <v>-</v>
      </c>
      <c r="J86" s="164">
        <f t="shared" si="69"/>
        <v>0.7857142857142857</v>
      </c>
      <c r="K86" s="135" t="str">
        <f t="shared" si="70"/>
        <v>-</v>
      </c>
      <c r="L86" s="135" t="str">
        <f t="shared" si="71"/>
        <v>-</v>
      </c>
      <c r="M86" s="135">
        <f t="shared" si="72"/>
        <v>280</v>
      </c>
      <c r="N86" s="135">
        <v>3</v>
      </c>
      <c r="O86" s="135">
        <v>1.1000000000000001</v>
      </c>
      <c r="P86" s="165">
        <f t="shared" si="73"/>
        <v>17.5</v>
      </c>
      <c r="Q86" s="699">
        <f t="shared" si="74"/>
        <v>1.7</v>
      </c>
      <c r="R86" s="700"/>
      <c r="S86" s="166" t="str">
        <f t="shared" si="75"/>
        <v>Соответствует ПТЭЭП</v>
      </c>
      <c r="T86" s="149" t="s">
        <v>449</v>
      </c>
      <c r="U86" s="167">
        <v>16</v>
      </c>
      <c r="V86" s="168">
        <v>285</v>
      </c>
      <c r="W86" s="169" t="s">
        <v>449</v>
      </c>
    </row>
    <row r="87" spans="1:23" s="341" customFormat="1" ht="34.5" customHeight="1">
      <c r="A87" s="135">
        <f t="shared" si="76"/>
        <v>59</v>
      </c>
      <c r="B87" s="146" t="s">
        <v>877</v>
      </c>
      <c r="C87" s="403" t="s">
        <v>908</v>
      </c>
      <c r="D87" s="162" t="str">
        <f t="shared" si="64"/>
        <v>~220В</v>
      </c>
      <c r="E87" s="163" t="s">
        <v>943</v>
      </c>
      <c r="F87" s="135">
        <f t="shared" si="65"/>
        <v>16</v>
      </c>
      <c r="G87" s="135">
        <f t="shared" si="66"/>
        <v>160</v>
      </c>
      <c r="H87" s="164">
        <f t="shared" si="67"/>
        <v>0.81481481481481477</v>
      </c>
      <c r="I87" s="164" t="str">
        <f t="shared" si="68"/>
        <v>-</v>
      </c>
      <c r="J87" s="164" t="str">
        <f t="shared" si="69"/>
        <v>-</v>
      </c>
      <c r="K87" s="135">
        <f t="shared" si="70"/>
        <v>270</v>
      </c>
      <c r="L87" s="135" t="str">
        <f t="shared" si="71"/>
        <v>-</v>
      </c>
      <c r="M87" s="135" t="str">
        <f t="shared" si="72"/>
        <v>-</v>
      </c>
      <c r="N87" s="135">
        <v>3</v>
      </c>
      <c r="O87" s="135">
        <v>1.1000000000000001</v>
      </c>
      <c r="P87" s="165">
        <f t="shared" si="73"/>
        <v>16.875</v>
      </c>
      <c r="Q87" s="699">
        <f t="shared" si="74"/>
        <v>1.6</v>
      </c>
      <c r="R87" s="700"/>
      <c r="S87" s="166" t="str">
        <f t="shared" si="75"/>
        <v>Соответствует ПТЭЭП</v>
      </c>
      <c r="T87" s="149" t="s">
        <v>448</v>
      </c>
      <c r="U87" s="167">
        <v>16</v>
      </c>
      <c r="V87" s="168">
        <v>280</v>
      </c>
      <c r="W87" s="169" t="s">
        <v>449</v>
      </c>
    </row>
    <row r="88" spans="1:23" s="341" customFormat="1" ht="37.5" customHeight="1">
      <c r="A88" s="135">
        <f t="shared" si="76"/>
        <v>60</v>
      </c>
      <c r="B88" s="146" t="s">
        <v>877</v>
      </c>
      <c r="C88" s="403" t="s">
        <v>909</v>
      </c>
      <c r="D88" s="162" t="str">
        <f t="shared" si="64"/>
        <v>~220В</v>
      </c>
      <c r="E88" s="163" t="s">
        <v>943</v>
      </c>
      <c r="F88" s="135">
        <f t="shared" si="65"/>
        <v>16</v>
      </c>
      <c r="G88" s="135">
        <f t="shared" si="66"/>
        <v>160</v>
      </c>
      <c r="H88" s="164" t="str">
        <f t="shared" si="67"/>
        <v>-</v>
      </c>
      <c r="I88" s="164">
        <f t="shared" si="68"/>
        <v>0.7857142857142857</v>
      </c>
      <c r="J88" s="164" t="str">
        <f t="shared" si="69"/>
        <v>-</v>
      </c>
      <c r="K88" s="135" t="str">
        <f t="shared" si="70"/>
        <v>-</v>
      </c>
      <c r="L88" s="135">
        <f t="shared" si="71"/>
        <v>280</v>
      </c>
      <c r="M88" s="135" t="str">
        <f t="shared" si="72"/>
        <v>-</v>
      </c>
      <c r="N88" s="135">
        <v>3</v>
      </c>
      <c r="O88" s="135">
        <v>1.1000000000000001</v>
      </c>
      <c r="P88" s="165">
        <f t="shared" si="73"/>
        <v>17.5</v>
      </c>
      <c r="Q88" s="699">
        <f t="shared" si="74"/>
        <v>1.7</v>
      </c>
      <c r="R88" s="700"/>
      <c r="S88" s="166" t="str">
        <f t="shared" si="75"/>
        <v>Соответствует ПТЭЭП</v>
      </c>
      <c r="T88" s="149" t="s">
        <v>441</v>
      </c>
      <c r="U88" s="167">
        <v>16</v>
      </c>
      <c r="V88" s="168">
        <v>275</v>
      </c>
      <c r="W88" s="169" t="s">
        <v>449</v>
      </c>
    </row>
    <row r="89" spans="1:23" s="341" customFormat="1" ht="37.5" customHeight="1">
      <c r="A89" s="135">
        <f t="shared" si="76"/>
        <v>61</v>
      </c>
      <c r="B89" s="146" t="s">
        <v>877</v>
      </c>
      <c r="C89" s="403" t="s">
        <v>910</v>
      </c>
      <c r="D89" s="162" t="str">
        <f t="shared" si="64"/>
        <v>~220В</v>
      </c>
      <c r="E89" s="163" t="s">
        <v>943</v>
      </c>
      <c r="F89" s="135">
        <f t="shared" si="65"/>
        <v>16</v>
      </c>
      <c r="G89" s="135">
        <f t="shared" si="66"/>
        <v>160</v>
      </c>
      <c r="H89" s="164" t="str">
        <f t="shared" si="67"/>
        <v>-</v>
      </c>
      <c r="I89" s="164" t="str">
        <f t="shared" si="68"/>
        <v>-</v>
      </c>
      <c r="J89" s="164">
        <f t="shared" si="69"/>
        <v>0.81481481481481477</v>
      </c>
      <c r="K89" s="135" t="str">
        <f t="shared" si="70"/>
        <v>-</v>
      </c>
      <c r="L89" s="135" t="str">
        <f t="shared" si="71"/>
        <v>-</v>
      </c>
      <c r="M89" s="135">
        <f t="shared" si="72"/>
        <v>270</v>
      </c>
      <c r="N89" s="135">
        <v>3</v>
      </c>
      <c r="O89" s="135">
        <v>1.1000000000000001</v>
      </c>
      <c r="P89" s="165">
        <f t="shared" si="73"/>
        <v>16.875</v>
      </c>
      <c r="Q89" s="699">
        <f t="shared" si="74"/>
        <v>1.6</v>
      </c>
      <c r="R89" s="700"/>
      <c r="S89" s="166" t="str">
        <f t="shared" si="75"/>
        <v>Соответствует ПТЭЭП</v>
      </c>
      <c r="T89" s="149" t="s">
        <v>449</v>
      </c>
      <c r="U89" s="167">
        <v>16</v>
      </c>
      <c r="V89" s="168">
        <v>270</v>
      </c>
      <c r="W89" s="169" t="s">
        <v>449</v>
      </c>
    </row>
    <row r="90" spans="1:23" s="341" customFormat="1" ht="20.100000000000001" customHeight="1">
      <c r="A90" s="73" t="str">
        <f ca="1">'Протокол №505-3'!A93</f>
        <v>ЩО-3</v>
      </c>
      <c r="B90" s="74"/>
      <c r="C90" s="74"/>
      <c r="D90" s="7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60"/>
      <c r="T90" s="136"/>
      <c r="U90" s="167"/>
      <c r="V90" s="168">
        <v>1000</v>
      </c>
      <c r="W90" s="169"/>
    </row>
    <row r="91" spans="1:23" s="341" customFormat="1" ht="32.25" customHeight="1">
      <c r="A91" s="135">
        <v>62</v>
      </c>
      <c r="B91" s="146" t="s">
        <v>877</v>
      </c>
      <c r="C91" s="403" t="s">
        <v>888</v>
      </c>
      <c r="D91" s="162" t="str">
        <f t="shared" ref="D91:D97" si="77">IF(T91="АВС","~380В","~220В")</f>
        <v>~220В</v>
      </c>
      <c r="E91" s="163" t="s">
        <v>944</v>
      </c>
      <c r="F91" s="135">
        <f t="shared" ref="F91:F97" si="78">U91</f>
        <v>10</v>
      </c>
      <c r="G91" s="135">
        <f t="shared" ref="G91:G97" si="79">IF(T91="ПН-2",U91,IF(W91="в",F91*5,IF(W91="С",F91*10,IF(W91="d",F91*20,F91))))</f>
        <v>100</v>
      </c>
      <c r="H91" s="164">
        <f t="shared" ref="H91:H97" si="80">IF(OR(T91="В",T91="С"),"-",220/K91)</f>
        <v>0.91666666666666663</v>
      </c>
      <c r="I91" s="164" t="str">
        <f t="shared" ref="I91:I97" si="81">IF(OR(T91="А",T91="С"),"-",220/L91)</f>
        <v>-</v>
      </c>
      <c r="J91" s="164" t="str">
        <f t="shared" ref="J91:J97" si="82">IF(OR(T91="А",T91="В"),"-",220/M91)</f>
        <v>-</v>
      </c>
      <c r="K91" s="135">
        <f t="shared" ref="K91:K97" si="83">IF(OR(T91="В",T91="С"),"-",TRUNC(ROUND(V91-0.03*V91,0)/10,0)*10)</f>
        <v>240</v>
      </c>
      <c r="L91" s="135" t="str">
        <f t="shared" ref="L91:L97" si="84">IF(OR(T91="А",T91="С"),"-",TRUNC(ROUND(V91+0.03*V91,0)/10,0)*10)</f>
        <v>-</v>
      </c>
      <c r="M91" s="135" t="str">
        <f t="shared" ref="M91:M97" si="85">IF(OR(T91="А",T91="В"),"-",TRUNC(V91/10,0)*10)</f>
        <v>-</v>
      </c>
      <c r="N91" s="135">
        <v>3</v>
      </c>
      <c r="O91" s="135">
        <v>1.1000000000000001</v>
      </c>
      <c r="P91" s="165">
        <f t="shared" ref="P91:P97" si="86">IF(OR(T91="АВС",T91="А"),K91/F91,IF(T91="В",L91/F91,IF(T91="С",M91/F91,K91/G91)))</f>
        <v>24</v>
      </c>
      <c r="Q91" s="699">
        <f t="shared" ref="Q91:Q97" si="87">IF(OR(T91="АВС",T91="А"),ROUNDDOWN(K91/G91,1),IF(T91="В",ROUNDDOWN(L91/G91,1),IF(T91="С",ROUNDDOWN(M91/G91,1),"-")))</f>
        <v>2.4</v>
      </c>
      <c r="R91" s="700"/>
      <c r="S91" s="166" t="str">
        <f t="shared" ref="S91:S97" si="88">IF(OR(Q91&lt;O91,P91&lt;N91),"Не соответствует ПТЭЭП","Соответствует ПТЭЭП")</f>
        <v>Соответствует ПТЭЭП</v>
      </c>
      <c r="T91" s="149" t="s">
        <v>448</v>
      </c>
      <c r="U91" s="167">
        <v>10</v>
      </c>
      <c r="V91" s="168">
        <v>250</v>
      </c>
      <c r="W91" s="169" t="s">
        <v>449</v>
      </c>
    </row>
    <row r="92" spans="1:23" s="341" customFormat="1" ht="32.25" customHeight="1">
      <c r="A92" s="135">
        <f t="shared" ref="A92:A97" si="89">A91+1</f>
        <v>63</v>
      </c>
      <c r="B92" s="146" t="s">
        <v>877</v>
      </c>
      <c r="C92" s="403" t="s">
        <v>890</v>
      </c>
      <c r="D92" s="162" t="str">
        <f t="shared" si="77"/>
        <v>~220В</v>
      </c>
      <c r="E92" s="163" t="s">
        <v>944</v>
      </c>
      <c r="F92" s="135">
        <f t="shared" si="78"/>
        <v>10</v>
      </c>
      <c r="G92" s="135">
        <f t="shared" si="79"/>
        <v>100</v>
      </c>
      <c r="H92" s="164" t="str">
        <f t="shared" si="80"/>
        <v>-</v>
      </c>
      <c r="I92" s="164">
        <f t="shared" si="81"/>
        <v>0.88</v>
      </c>
      <c r="J92" s="164" t="str">
        <f t="shared" si="82"/>
        <v>-</v>
      </c>
      <c r="K92" s="135" t="str">
        <f t="shared" si="83"/>
        <v>-</v>
      </c>
      <c r="L92" s="135">
        <f t="shared" si="84"/>
        <v>250</v>
      </c>
      <c r="M92" s="135" t="str">
        <f t="shared" si="85"/>
        <v>-</v>
      </c>
      <c r="N92" s="135">
        <v>3</v>
      </c>
      <c r="O92" s="135">
        <v>1.1000000000000001</v>
      </c>
      <c r="P92" s="165">
        <f t="shared" si="86"/>
        <v>25</v>
      </c>
      <c r="Q92" s="699">
        <f t="shared" si="87"/>
        <v>2.5</v>
      </c>
      <c r="R92" s="700"/>
      <c r="S92" s="166" t="str">
        <f t="shared" si="88"/>
        <v>Соответствует ПТЭЭП</v>
      </c>
      <c r="T92" s="149" t="s">
        <v>441</v>
      </c>
      <c r="U92" s="167">
        <v>10</v>
      </c>
      <c r="V92" s="168">
        <v>245</v>
      </c>
      <c r="W92" s="169" t="s">
        <v>449</v>
      </c>
    </row>
    <row r="93" spans="1:23" s="341" customFormat="1" ht="32.25" customHeight="1">
      <c r="A93" s="135">
        <f t="shared" si="89"/>
        <v>64</v>
      </c>
      <c r="B93" s="146" t="s">
        <v>877</v>
      </c>
      <c r="C93" s="403" t="s">
        <v>893</v>
      </c>
      <c r="D93" s="162" t="str">
        <f t="shared" si="77"/>
        <v>~220В</v>
      </c>
      <c r="E93" s="163" t="s">
        <v>944</v>
      </c>
      <c r="F93" s="135">
        <f t="shared" si="78"/>
        <v>10</v>
      </c>
      <c r="G93" s="135">
        <f t="shared" si="79"/>
        <v>100</v>
      </c>
      <c r="H93" s="164" t="str">
        <f t="shared" si="80"/>
        <v>-</v>
      </c>
      <c r="I93" s="164" t="str">
        <f t="shared" si="81"/>
        <v>-</v>
      </c>
      <c r="J93" s="164">
        <f t="shared" si="82"/>
        <v>0.91666666666666663</v>
      </c>
      <c r="K93" s="135" t="str">
        <f t="shared" si="83"/>
        <v>-</v>
      </c>
      <c r="L93" s="135" t="str">
        <f t="shared" si="84"/>
        <v>-</v>
      </c>
      <c r="M93" s="135">
        <f t="shared" si="85"/>
        <v>240</v>
      </c>
      <c r="N93" s="135">
        <v>3</v>
      </c>
      <c r="O93" s="135">
        <v>1.1000000000000001</v>
      </c>
      <c r="P93" s="165">
        <f t="shared" si="86"/>
        <v>24</v>
      </c>
      <c r="Q93" s="699">
        <f t="shared" si="87"/>
        <v>2.4</v>
      </c>
      <c r="R93" s="700"/>
      <c r="S93" s="166" t="str">
        <f t="shared" si="88"/>
        <v>Соответствует ПТЭЭП</v>
      </c>
      <c r="T93" s="149" t="s">
        <v>449</v>
      </c>
      <c r="U93" s="167">
        <v>10</v>
      </c>
      <c r="V93" s="168">
        <v>240</v>
      </c>
      <c r="W93" s="169" t="s">
        <v>449</v>
      </c>
    </row>
    <row r="94" spans="1:23" s="341" customFormat="1" ht="32.25" customHeight="1">
      <c r="A94" s="135">
        <f t="shared" si="89"/>
        <v>65</v>
      </c>
      <c r="B94" s="146" t="s">
        <v>877</v>
      </c>
      <c r="C94" s="403" t="s">
        <v>894</v>
      </c>
      <c r="D94" s="162" t="str">
        <f t="shared" si="77"/>
        <v>~220В</v>
      </c>
      <c r="E94" s="163" t="s">
        <v>944</v>
      </c>
      <c r="F94" s="135">
        <f t="shared" si="78"/>
        <v>10</v>
      </c>
      <c r="G94" s="135">
        <f t="shared" si="79"/>
        <v>100</v>
      </c>
      <c r="H94" s="164">
        <f t="shared" si="80"/>
        <v>1</v>
      </c>
      <c r="I94" s="164" t="str">
        <f t="shared" si="81"/>
        <v>-</v>
      </c>
      <c r="J94" s="164" t="str">
        <f t="shared" si="82"/>
        <v>-</v>
      </c>
      <c r="K94" s="135">
        <f t="shared" si="83"/>
        <v>220</v>
      </c>
      <c r="L94" s="135" t="str">
        <f t="shared" si="84"/>
        <v>-</v>
      </c>
      <c r="M94" s="135" t="str">
        <f t="shared" si="85"/>
        <v>-</v>
      </c>
      <c r="N94" s="135">
        <v>3</v>
      </c>
      <c r="O94" s="135">
        <v>1.1000000000000001</v>
      </c>
      <c r="P94" s="165">
        <f t="shared" si="86"/>
        <v>22</v>
      </c>
      <c r="Q94" s="699">
        <f t="shared" si="87"/>
        <v>2.2000000000000002</v>
      </c>
      <c r="R94" s="700"/>
      <c r="S94" s="166" t="str">
        <f t="shared" si="88"/>
        <v>Соответствует ПТЭЭП</v>
      </c>
      <c r="T94" s="149" t="s">
        <v>448</v>
      </c>
      <c r="U94" s="167">
        <v>10</v>
      </c>
      <c r="V94" s="168">
        <v>235</v>
      </c>
      <c r="W94" s="169" t="s">
        <v>449</v>
      </c>
    </row>
    <row r="95" spans="1:23" s="341" customFormat="1" ht="32.25" customHeight="1">
      <c r="A95" s="135">
        <f t="shared" si="89"/>
        <v>66</v>
      </c>
      <c r="B95" s="146" t="s">
        <v>877</v>
      </c>
      <c r="C95" s="403" t="s">
        <v>895</v>
      </c>
      <c r="D95" s="162" t="str">
        <f t="shared" si="77"/>
        <v>~220В</v>
      </c>
      <c r="E95" s="163" t="s">
        <v>944</v>
      </c>
      <c r="F95" s="135">
        <f t="shared" si="78"/>
        <v>10</v>
      </c>
      <c r="G95" s="135">
        <f t="shared" si="79"/>
        <v>100</v>
      </c>
      <c r="H95" s="164" t="str">
        <f t="shared" si="80"/>
        <v>-</v>
      </c>
      <c r="I95" s="164">
        <f t="shared" si="81"/>
        <v>0.95652173913043481</v>
      </c>
      <c r="J95" s="164" t="str">
        <f t="shared" si="82"/>
        <v>-</v>
      </c>
      <c r="K95" s="135" t="str">
        <f t="shared" si="83"/>
        <v>-</v>
      </c>
      <c r="L95" s="135">
        <f t="shared" si="84"/>
        <v>230</v>
      </c>
      <c r="M95" s="135" t="str">
        <f t="shared" si="85"/>
        <v>-</v>
      </c>
      <c r="N95" s="135">
        <v>3</v>
      </c>
      <c r="O95" s="135">
        <v>1.1000000000000001</v>
      </c>
      <c r="P95" s="165">
        <f t="shared" si="86"/>
        <v>23</v>
      </c>
      <c r="Q95" s="699">
        <f t="shared" si="87"/>
        <v>2.2999999999999998</v>
      </c>
      <c r="R95" s="700"/>
      <c r="S95" s="166" t="str">
        <f t="shared" si="88"/>
        <v>Соответствует ПТЭЭП</v>
      </c>
      <c r="T95" s="149" t="s">
        <v>441</v>
      </c>
      <c r="U95" s="167">
        <v>10</v>
      </c>
      <c r="V95" s="168">
        <v>230</v>
      </c>
      <c r="W95" s="169" t="s">
        <v>449</v>
      </c>
    </row>
    <row r="96" spans="1:23" s="341" customFormat="1" ht="32.25" customHeight="1">
      <c r="A96" s="135">
        <f t="shared" si="89"/>
        <v>67</v>
      </c>
      <c r="B96" s="146" t="s">
        <v>877</v>
      </c>
      <c r="C96" s="403" t="s">
        <v>896</v>
      </c>
      <c r="D96" s="162" t="str">
        <f t="shared" si="77"/>
        <v>~220В</v>
      </c>
      <c r="E96" s="163" t="s">
        <v>944</v>
      </c>
      <c r="F96" s="135">
        <f t="shared" si="78"/>
        <v>10</v>
      </c>
      <c r="G96" s="135">
        <f t="shared" si="79"/>
        <v>100</v>
      </c>
      <c r="H96" s="164" t="str">
        <f t="shared" si="80"/>
        <v>-</v>
      </c>
      <c r="I96" s="164" t="str">
        <f t="shared" si="81"/>
        <v>-</v>
      </c>
      <c r="J96" s="164">
        <f t="shared" si="82"/>
        <v>0.91666666666666663</v>
      </c>
      <c r="K96" s="135" t="str">
        <f t="shared" si="83"/>
        <v>-</v>
      </c>
      <c r="L96" s="135" t="str">
        <f t="shared" si="84"/>
        <v>-</v>
      </c>
      <c r="M96" s="135">
        <f t="shared" si="85"/>
        <v>240</v>
      </c>
      <c r="N96" s="135">
        <v>3</v>
      </c>
      <c r="O96" s="135">
        <v>1.1000000000000001</v>
      </c>
      <c r="P96" s="165">
        <f t="shared" si="86"/>
        <v>24</v>
      </c>
      <c r="Q96" s="699">
        <f t="shared" si="87"/>
        <v>2.4</v>
      </c>
      <c r="R96" s="700"/>
      <c r="S96" s="166" t="str">
        <f t="shared" si="88"/>
        <v>Соответствует ПТЭЭП</v>
      </c>
      <c r="T96" s="149" t="s">
        <v>449</v>
      </c>
      <c r="U96" s="167">
        <v>10</v>
      </c>
      <c r="V96" s="168">
        <v>240</v>
      </c>
      <c r="W96" s="169" t="s">
        <v>449</v>
      </c>
    </row>
    <row r="97" spans="1:23" s="341" customFormat="1" ht="32.25" customHeight="1">
      <c r="A97" s="135">
        <f t="shared" si="89"/>
        <v>68</v>
      </c>
      <c r="B97" s="146" t="s">
        <v>877</v>
      </c>
      <c r="C97" s="403" t="s">
        <v>897</v>
      </c>
      <c r="D97" s="162" t="str">
        <f t="shared" si="77"/>
        <v>~220В</v>
      </c>
      <c r="E97" s="163" t="s">
        <v>944</v>
      </c>
      <c r="F97" s="135">
        <f t="shared" si="78"/>
        <v>10</v>
      </c>
      <c r="G97" s="135">
        <f t="shared" si="79"/>
        <v>100</v>
      </c>
      <c r="H97" s="164">
        <f t="shared" si="80"/>
        <v>1</v>
      </c>
      <c r="I97" s="164" t="str">
        <f t="shared" si="81"/>
        <v>-</v>
      </c>
      <c r="J97" s="164" t="str">
        <f t="shared" si="82"/>
        <v>-</v>
      </c>
      <c r="K97" s="135">
        <f t="shared" si="83"/>
        <v>220</v>
      </c>
      <c r="L97" s="135" t="str">
        <f t="shared" si="84"/>
        <v>-</v>
      </c>
      <c r="M97" s="135" t="str">
        <f t="shared" si="85"/>
        <v>-</v>
      </c>
      <c r="N97" s="135">
        <v>3</v>
      </c>
      <c r="O97" s="135">
        <v>1.1000000000000001</v>
      </c>
      <c r="P97" s="165">
        <f t="shared" si="86"/>
        <v>22</v>
      </c>
      <c r="Q97" s="699">
        <f t="shared" si="87"/>
        <v>2.2000000000000002</v>
      </c>
      <c r="R97" s="700"/>
      <c r="S97" s="166" t="str">
        <f t="shared" si="88"/>
        <v>Соответствует ПТЭЭП</v>
      </c>
      <c r="T97" s="149" t="s">
        <v>448</v>
      </c>
      <c r="U97" s="167">
        <v>10</v>
      </c>
      <c r="V97" s="168">
        <v>230</v>
      </c>
      <c r="W97" s="169" t="s">
        <v>449</v>
      </c>
    </row>
    <row r="98" spans="1:23" s="141" customFormat="1" ht="22.5" customHeight="1">
      <c r="A98" s="696" t="s">
        <v>946</v>
      </c>
      <c r="B98" s="696"/>
      <c r="C98" s="696"/>
      <c r="D98" s="696"/>
      <c r="E98" s="696"/>
      <c r="F98" s="69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/>
      <c r="U98"/>
      <c r="V98"/>
      <c r="W98"/>
    </row>
    <row r="99" spans="1:23" s="141" customFormat="1" ht="23.25" customHeight="1">
      <c r="A99" s="460" t="s">
        <v>540</v>
      </c>
      <c r="B99" s="453" t="s">
        <v>541</v>
      </c>
      <c r="C99" s="680"/>
      <c r="D99" s="454"/>
      <c r="E99" s="460" t="s">
        <v>542</v>
      </c>
      <c r="F99" s="457" t="s">
        <v>544</v>
      </c>
      <c r="G99" s="459"/>
      <c r="H99" s="459"/>
      <c r="I99" s="459"/>
      <c r="J99" s="458"/>
      <c r="K99" s="457" t="s">
        <v>545</v>
      </c>
      <c r="L99" s="459"/>
      <c r="M99" s="459"/>
      <c r="N99" s="458"/>
      <c r="O99" s="453" t="s">
        <v>546</v>
      </c>
      <c r="P99" s="454"/>
      <c r="Q99" s="453" t="s">
        <v>547</v>
      </c>
      <c r="R99" s="680"/>
      <c r="S99" s="454"/>
    </row>
    <row r="100" spans="1:23" ht="54" customHeight="1">
      <c r="A100" s="461"/>
      <c r="B100" s="455"/>
      <c r="C100" s="681"/>
      <c r="D100" s="456"/>
      <c r="E100" s="461"/>
      <c r="F100" s="457" t="s">
        <v>548</v>
      </c>
      <c r="G100" s="458"/>
      <c r="H100" s="457" t="s">
        <v>549</v>
      </c>
      <c r="I100" s="459"/>
      <c r="J100" s="458"/>
      <c r="K100" s="457" t="s">
        <v>550</v>
      </c>
      <c r="L100" s="458"/>
      <c r="M100" s="457" t="s">
        <v>551</v>
      </c>
      <c r="N100" s="458"/>
      <c r="O100" s="455"/>
      <c r="P100" s="456"/>
      <c r="Q100" s="455"/>
      <c r="R100" s="681"/>
      <c r="S100" s="456"/>
    </row>
    <row r="101" spans="1:23" s="141" customFormat="1" ht="48.75" customHeight="1">
      <c r="A101" s="56">
        <v>1</v>
      </c>
      <c r="B101" s="457" t="str">
        <f ca="1">'Исходник '!B56</f>
        <v>MPI-520</v>
      </c>
      <c r="C101" s="459"/>
      <c r="D101" s="458"/>
      <c r="E101" s="154">
        <f ca="1">'Исходник '!C56</f>
        <v>723895</v>
      </c>
      <c r="F101" s="457" t="str">
        <f ca="1">'Исходник '!F58:G58</f>
        <v>0-1999 Ом (0,01 Ом)
0,001...40кА (0,001кА)</v>
      </c>
      <c r="G101" s="458"/>
      <c r="H101" s="457" t="str">
        <f ca="1">'Исходник '!H58:I58</f>
        <v xml:space="preserve"> ± (5% ZS+5 е.м.р.)                     -∆I; +∆I;</v>
      </c>
      <c r="I101" s="459"/>
      <c r="J101" s="458"/>
      <c r="K101" s="487">
        <f ca="1">'Исходник '!J56</f>
        <v>43530</v>
      </c>
      <c r="L101" s="488"/>
      <c r="M101" s="487">
        <f ca="1">'Исходник '!L56</f>
        <v>43895</v>
      </c>
      <c r="N101" s="488"/>
      <c r="O101" s="457" t="str">
        <f ca="1">'Исходник '!N56</f>
        <v>№18182-А</v>
      </c>
      <c r="P101" s="458"/>
      <c r="Q101" s="457" t="str">
        <f ca="1">'Исходник '!P56</f>
        <v>ООО "СОНЕЛ"</v>
      </c>
      <c r="R101" s="459"/>
      <c r="S101" s="458"/>
    </row>
    <row r="102" spans="1:23" s="141" customFormat="1" ht="36" customHeight="1">
      <c r="A102" s="56">
        <v>2</v>
      </c>
      <c r="B102" s="457" t="str">
        <f ca="1">'Исходник '!B61</f>
        <v>ИВТМ-7</v>
      </c>
      <c r="C102" s="459"/>
      <c r="D102" s="458"/>
      <c r="E102" s="154">
        <f ca="1">'Исходник '!C61</f>
        <v>20084</v>
      </c>
      <c r="F102" s="457" t="str">
        <f ca="1">'Исходник '!F61:G61</f>
        <v>0-99 %
-20 +60 0С</v>
      </c>
      <c r="G102" s="458"/>
      <c r="H102" s="457" t="str">
        <f ca="1">'Исходник '!H61:I61</f>
        <v>± 2%
± 0,2 0С</v>
      </c>
      <c r="I102" s="459"/>
      <c r="J102" s="458"/>
      <c r="K102" s="487">
        <f ca="1">'Исходник '!J61</f>
        <v>43517</v>
      </c>
      <c r="L102" s="488"/>
      <c r="M102" s="487" t="str">
        <f ca="1">'Исходник '!L61</f>
        <v>21.02.2020.</v>
      </c>
      <c r="N102" s="488"/>
      <c r="O102" s="457" t="str">
        <f ca="1">'Исходник '!N61</f>
        <v>№197</v>
      </c>
      <c r="P102" s="458"/>
      <c r="Q102" s="457" t="str">
        <f ca="1">'Исходник '!P61</f>
        <v>ООО НПК "АВИАПРИБОР"</v>
      </c>
      <c r="R102" s="459"/>
      <c r="S102" s="458"/>
    </row>
    <row r="103" spans="1:23" ht="38.25" customHeight="1">
      <c r="A103" s="56">
        <v>3</v>
      </c>
      <c r="B103" s="457" t="str">
        <f ca="1">'Исходник '!B62</f>
        <v>Барометр М 67</v>
      </c>
      <c r="C103" s="459"/>
      <c r="D103" s="458"/>
      <c r="E103" s="154">
        <f ca="1">'Исходник '!C62</f>
        <v>74</v>
      </c>
      <c r="F103" s="457" t="str">
        <f ca="1">'Исходник '!F62:G62</f>
        <v>610-790
 мм.рт.ст</v>
      </c>
      <c r="G103" s="458"/>
      <c r="H103" s="457" t="str">
        <f ca="1">'Исходник '!H62:I62</f>
        <v>± 0,8 мм.рт.ст.</v>
      </c>
      <c r="I103" s="459"/>
      <c r="J103" s="458"/>
      <c r="K103" s="487">
        <f ca="1">'Исходник '!J62</f>
        <v>43517</v>
      </c>
      <c r="L103" s="488"/>
      <c r="M103" s="487" t="str">
        <f ca="1">'Исходник '!L62</f>
        <v>21.02.2020.</v>
      </c>
      <c r="N103" s="488"/>
      <c r="O103" s="457" t="str">
        <f ca="1">'Исходник '!N62</f>
        <v>№200</v>
      </c>
      <c r="P103" s="458"/>
      <c r="Q103" s="457" t="str">
        <f ca="1">'Исходник '!P62</f>
        <v>ООО НПК "АВИАПРИБОР"</v>
      </c>
      <c r="R103" s="459"/>
      <c r="S103" s="458"/>
    </row>
    <row r="104" spans="1:23" s="156" customFormat="1" ht="19.5" customHeight="1">
      <c r="A104" s="13"/>
      <c r="B104" s="91" t="s">
        <v>947</v>
      </c>
      <c r="C104" s="13"/>
      <c r="D104" s="9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/>
      <c r="U104" s="6"/>
      <c r="V104" s="6"/>
      <c r="W104" s="6"/>
    </row>
    <row r="105" spans="1:23" s="157" customFormat="1" ht="15" customHeight="1">
      <c r="A105" s="92"/>
      <c r="B105" s="7" t="s">
        <v>948</v>
      </c>
      <c r="C105" s="19"/>
      <c r="D105" s="19"/>
      <c r="E105" s="19"/>
      <c r="F105" s="19"/>
      <c r="G105" s="19"/>
      <c r="H105" s="19"/>
      <c r="I105" s="19"/>
      <c r="J105" s="7"/>
      <c r="K105" s="93" t="s">
        <v>949</v>
      </c>
      <c r="L105" s="93"/>
      <c r="M105" s="93"/>
      <c r="N105" s="93"/>
      <c r="O105" s="93"/>
      <c r="P105" s="93"/>
      <c r="Q105" s="93"/>
      <c r="R105" s="93"/>
      <c r="S105" s="93"/>
      <c r="T105" s="2"/>
      <c r="U105" s="2"/>
      <c r="V105" s="2"/>
      <c r="W105" s="2"/>
    </row>
    <row r="106" spans="1:23" s="157" customFormat="1" ht="15" customHeight="1">
      <c r="A106" s="92"/>
      <c r="B106" s="93" t="s">
        <v>950</v>
      </c>
      <c r="C106" s="93"/>
      <c r="D106" s="93"/>
      <c r="E106" s="93"/>
      <c r="F106" s="93"/>
      <c r="G106" s="93"/>
      <c r="H106" s="19"/>
      <c r="I106" s="19"/>
      <c r="J106" s="7"/>
      <c r="K106" s="93" t="s">
        <v>951</v>
      </c>
      <c r="L106" s="93"/>
      <c r="M106" s="93"/>
      <c r="N106" s="93"/>
      <c r="O106" s="93"/>
      <c r="P106" s="93"/>
      <c r="Q106" s="93"/>
      <c r="R106" s="93"/>
      <c r="S106" s="93"/>
      <c r="T106" s="2"/>
      <c r="U106" s="2"/>
      <c r="V106" s="2"/>
      <c r="W106" s="2"/>
    </row>
    <row r="107" spans="1:23" s="157" customFormat="1" ht="17.25" customHeight="1">
      <c r="A107" s="13"/>
      <c r="B107" s="9" t="s">
        <v>408</v>
      </c>
      <c r="C107" s="13"/>
      <c r="D107" s="9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2"/>
      <c r="U107" s="2"/>
      <c r="V107" s="2"/>
      <c r="W107" s="2"/>
    </row>
    <row r="108" spans="1:23" s="153" customFormat="1" ht="14.25" customHeight="1">
      <c r="A108" s="13"/>
      <c r="B108" s="94" t="s">
        <v>409</v>
      </c>
      <c r="C108" s="1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170"/>
      <c r="U108" s="170"/>
      <c r="V108" s="170"/>
      <c r="W108" s="170"/>
    </row>
    <row r="109" spans="1:23" s="156" customFormat="1" ht="15" customHeight="1">
      <c r="A109" s="13"/>
      <c r="B109" s="94" t="s">
        <v>410</v>
      </c>
      <c r="C109" s="1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6"/>
      <c r="U109" s="6"/>
      <c r="V109" s="6"/>
      <c r="W109" s="6"/>
    </row>
    <row r="110" spans="1:23" s="156" customFormat="1" ht="18.75" customHeight="1">
      <c r="A110" s="199"/>
      <c r="B110" s="200" t="s">
        <v>411</v>
      </c>
      <c r="C110" s="13"/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6"/>
      <c r="Q110" s="706"/>
      <c r="R110" s="706"/>
      <c r="S110" s="706"/>
      <c r="T110" s="6"/>
      <c r="U110" s="6"/>
      <c r="V110" s="6"/>
      <c r="W110" s="6"/>
    </row>
    <row r="111" spans="1:23" s="156" customFormat="1" ht="18.75" customHeight="1">
      <c r="A111" s="64"/>
      <c r="B111" s="95" t="s">
        <v>412</v>
      </c>
      <c r="C111" s="96"/>
      <c r="D111" s="705" t="s">
        <v>413</v>
      </c>
      <c r="E111" s="705"/>
      <c r="F111" s="705"/>
      <c r="G111" s="705"/>
      <c r="H111" s="705"/>
      <c r="I111" s="705"/>
      <c r="J111" s="705"/>
      <c r="K111" s="705"/>
      <c r="L111" s="705"/>
      <c r="M111" s="705"/>
      <c r="N111" s="705"/>
      <c r="O111" s="705"/>
      <c r="P111" s="705"/>
      <c r="Q111" s="705"/>
      <c r="R111" s="705"/>
      <c r="S111" s="705"/>
      <c r="T111" s="6"/>
      <c r="U111" s="6"/>
      <c r="V111" s="6"/>
      <c r="W111" s="6"/>
    </row>
    <row r="112" spans="1:23" s="5" customFormat="1" ht="17.25" customHeight="1">
      <c r="A112" s="682" t="s">
        <v>790</v>
      </c>
      <c r="B112" s="682"/>
      <c r="C112" s="682"/>
      <c r="D112" s="632" t="s">
        <v>749</v>
      </c>
      <c r="E112" s="632"/>
      <c r="F112" s="632"/>
      <c r="G112" s="7"/>
      <c r="H112" s="632"/>
      <c r="I112" s="632"/>
      <c r="J112" s="58"/>
      <c r="K112" s="58"/>
      <c r="L112" s="632" t="str">
        <f ca="1">'Исходник '!B12</f>
        <v>Евдокимов А.О.</v>
      </c>
      <c r="M112" s="632"/>
      <c r="N112" s="632"/>
      <c r="O112" s="7"/>
      <c r="P112" s="7"/>
      <c r="Q112" s="7"/>
      <c r="R112" s="7"/>
      <c r="S112" s="7"/>
      <c r="T112" s="6"/>
      <c r="U112" s="6"/>
      <c r="V112" s="6"/>
      <c r="W112" s="6"/>
    </row>
    <row r="113" spans="1:23" s="5" customFormat="1" ht="15.75" customHeight="1">
      <c r="A113" s="682"/>
      <c r="B113" s="682"/>
      <c r="C113" s="682"/>
      <c r="D113" s="607" t="s">
        <v>751</v>
      </c>
      <c r="E113" s="607"/>
      <c r="F113" s="607"/>
      <c r="G113" s="7"/>
      <c r="H113" s="607" t="s">
        <v>653</v>
      </c>
      <c r="I113" s="607"/>
      <c r="J113" s="57"/>
      <c r="K113" s="57"/>
      <c r="L113" s="607" t="s">
        <v>791</v>
      </c>
      <c r="M113" s="607"/>
      <c r="N113" s="607"/>
      <c r="O113" s="7"/>
      <c r="P113" s="7"/>
      <c r="Q113" s="7"/>
      <c r="R113" s="7"/>
      <c r="S113" s="7"/>
      <c r="T113" s="6"/>
      <c r="U113" s="6"/>
      <c r="V113" s="6"/>
      <c r="W113" s="6"/>
    </row>
    <row r="114" spans="1:23" s="5" customFormat="1" ht="15.75" customHeight="1">
      <c r="A114" s="682"/>
      <c r="B114" s="682"/>
      <c r="C114" s="682"/>
      <c r="D114" s="563" t="s">
        <v>792</v>
      </c>
      <c r="E114" s="563"/>
      <c r="F114" s="563"/>
      <c r="G114" s="7"/>
      <c r="H114" s="650"/>
      <c r="I114" s="650"/>
      <c r="J114" s="65"/>
      <c r="K114" s="65"/>
      <c r="L114" s="563" t="str">
        <f ca="1">'Исходник '!B13</f>
        <v>Кокшаров С.В.</v>
      </c>
      <c r="M114" s="563"/>
      <c r="N114" s="563"/>
      <c r="O114" s="7"/>
      <c r="P114" s="7"/>
      <c r="Q114" s="7"/>
      <c r="R114" s="7"/>
      <c r="S114" s="7"/>
      <c r="T114" s="6"/>
      <c r="U114" s="6"/>
      <c r="V114" s="6"/>
      <c r="W114" s="6"/>
    </row>
    <row r="115" spans="1:23" s="5" customFormat="1" ht="15" customHeight="1">
      <c r="A115" s="97"/>
      <c r="B115" s="97"/>
      <c r="C115" s="97"/>
      <c r="D115" s="607" t="s">
        <v>751</v>
      </c>
      <c r="E115" s="607"/>
      <c r="F115" s="607"/>
      <c r="G115" s="7"/>
      <c r="H115" s="607" t="s">
        <v>653</v>
      </c>
      <c r="I115" s="607"/>
      <c r="J115" s="57"/>
      <c r="K115" s="57"/>
      <c r="L115" s="607" t="s">
        <v>791</v>
      </c>
      <c r="M115" s="607"/>
      <c r="N115" s="607"/>
      <c r="O115" s="7"/>
      <c r="P115" s="7"/>
      <c r="Q115" s="7"/>
      <c r="R115" s="7"/>
      <c r="S115" s="7"/>
      <c r="T115" s="6"/>
      <c r="U115" s="6"/>
      <c r="V115" s="6"/>
      <c r="W115" s="6"/>
    </row>
    <row r="116" spans="1:23" s="156" customFormat="1" ht="15.75" customHeight="1">
      <c r="A116" s="708" t="s">
        <v>793</v>
      </c>
      <c r="B116" s="708"/>
      <c r="C116" s="708"/>
      <c r="D116" s="563" t="s">
        <v>749</v>
      </c>
      <c r="E116" s="563"/>
      <c r="F116" s="563"/>
      <c r="G116" s="7"/>
      <c r="H116" s="650"/>
      <c r="I116" s="650"/>
      <c r="J116" s="65"/>
      <c r="K116" s="65"/>
      <c r="L116" s="563" t="str">
        <f ca="1">'Исходник '!B12</f>
        <v>Евдокимов А.О.</v>
      </c>
      <c r="M116" s="563"/>
      <c r="N116" s="563"/>
      <c r="O116" s="7"/>
      <c r="P116" s="7"/>
      <c r="Q116" s="7"/>
      <c r="R116" s="7"/>
      <c r="S116" s="7"/>
      <c r="T116" s="6"/>
      <c r="U116" s="6"/>
      <c r="V116" s="6"/>
      <c r="W116" s="6"/>
    </row>
    <row r="117" spans="1:23" s="141" customFormat="1" ht="14.25" customHeight="1">
      <c r="A117" s="23"/>
      <c r="B117" s="23"/>
      <c r="C117" s="23"/>
      <c r="D117" s="607" t="s">
        <v>751</v>
      </c>
      <c r="E117" s="607"/>
      <c r="F117" s="607"/>
      <c r="G117" s="7"/>
      <c r="H117" s="607" t="s">
        <v>653</v>
      </c>
      <c r="I117" s="607"/>
      <c r="J117" s="57"/>
      <c r="K117" s="57"/>
      <c r="L117" s="607" t="s">
        <v>791</v>
      </c>
      <c r="M117" s="607"/>
      <c r="N117" s="607"/>
      <c r="O117" s="7"/>
      <c r="P117" s="7"/>
      <c r="Q117" s="7"/>
      <c r="R117" s="7"/>
      <c r="S117" s="7"/>
      <c r="T117"/>
      <c r="U117"/>
      <c r="V117"/>
    </row>
    <row r="118" spans="1:23" ht="22.5" customHeight="1">
      <c r="A118" s="707" t="s">
        <v>794</v>
      </c>
      <c r="B118" s="707"/>
      <c r="C118" s="707"/>
      <c r="D118" s="707"/>
      <c r="E118" s="707"/>
      <c r="F118" s="707"/>
      <c r="G118" s="707"/>
      <c r="H118" s="707"/>
      <c r="I118" s="707"/>
      <c r="J118" s="707"/>
      <c r="K118" s="707"/>
      <c r="L118" s="707"/>
      <c r="M118" s="707"/>
      <c r="N118" s="707"/>
      <c r="O118" s="707"/>
      <c r="P118" s="707"/>
      <c r="Q118" s="707"/>
      <c r="R118" s="707"/>
      <c r="S118" s="707"/>
    </row>
    <row r="119" spans="1:23" s="141" customFormat="1" ht="11.25" customHeight="1">
      <c r="A119" s="707" t="s">
        <v>795</v>
      </c>
      <c r="B119" s="707"/>
      <c r="C119" s="707"/>
      <c r="D119" s="707"/>
      <c r="E119" s="707"/>
      <c r="F119" s="707"/>
      <c r="G119" s="707"/>
      <c r="H119" s="707"/>
      <c r="I119" s="707"/>
      <c r="J119" s="707"/>
      <c r="K119" s="707"/>
      <c r="L119" s="707"/>
      <c r="M119" s="707"/>
      <c r="N119" s="707"/>
      <c r="O119" s="707"/>
      <c r="P119" s="707"/>
      <c r="Q119" s="707"/>
      <c r="R119" s="707"/>
      <c r="S119" s="707"/>
      <c r="T119"/>
      <c r="U119"/>
      <c r="V119"/>
    </row>
    <row r="120" spans="1:23" s="141" customFormat="1" ht="6" customHeight="1">
      <c r="A120" s="23"/>
      <c r="B120"/>
      <c r="C120"/>
      <c r="D120" s="57"/>
      <c r="E120" s="57"/>
      <c r="F120" s="57"/>
      <c r="G120"/>
      <c r="H120" s="57"/>
      <c r="I120" s="57"/>
      <c r="J120" s="57"/>
      <c r="K120" s="57"/>
      <c r="L120" s="57"/>
      <c r="M120" s="57"/>
      <c r="N120"/>
      <c r="O120"/>
      <c r="P120"/>
      <c r="Q120"/>
      <c r="R120"/>
      <c r="S120"/>
      <c r="T120"/>
      <c r="U120"/>
      <c r="V120"/>
    </row>
  </sheetData>
  <mergeCells count="169">
    <mergeCell ref="A118:S118"/>
    <mergeCell ref="A119:S119"/>
    <mergeCell ref="D115:F115"/>
    <mergeCell ref="H115:I115"/>
    <mergeCell ref="L115:N115"/>
    <mergeCell ref="A116:C116"/>
    <mergeCell ref="D116:F116"/>
    <mergeCell ref="H116:I116"/>
    <mergeCell ref="L116:N116"/>
    <mergeCell ref="D117:F117"/>
    <mergeCell ref="H117:I117"/>
    <mergeCell ref="L117:N117"/>
    <mergeCell ref="A112:C112"/>
    <mergeCell ref="D112:F112"/>
    <mergeCell ref="H112:I112"/>
    <mergeCell ref="L112:N112"/>
    <mergeCell ref="A113:C113"/>
    <mergeCell ref="D113:F113"/>
    <mergeCell ref="H113:I113"/>
    <mergeCell ref="L113:N113"/>
    <mergeCell ref="D110:S110"/>
    <mergeCell ref="B103:D103"/>
    <mergeCell ref="F103:G103"/>
    <mergeCell ref="H103:J103"/>
    <mergeCell ref="K103:L103"/>
    <mergeCell ref="A114:C114"/>
    <mergeCell ref="D114:F114"/>
    <mergeCell ref="H114:I114"/>
    <mergeCell ref="L114:N114"/>
    <mergeCell ref="O101:P101"/>
    <mergeCell ref="Q101:S101"/>
    <mergeCell ref="B102:D102"/>
    <mergeCell ref="F102:G102"/>
    <mergeCell ref="M103:N103"/>
    <mergeCell ref="O103:P103"/>
    <mergeCell ref="Q103:S103"/>
    <mergeCell ref="H102:J102"/>
    <mergeCell ref="K102:L102"/>
    <mergeCell ref="M102:N102"/>
    <mergeCell ref="O102:P102"/>
    <mergeCell ref="D111:S111"/>
    <mergeCell ref="B101:D101"/>
    <mergeCell ref="F101:G101"/>
    <mergeCell ref="H101:J101"/>
    <mergeCell ref="K101:L101"/>
    <mergeCell ref="M101:N101"/>
    <mergeCell ref="Q102:S102"/>
    <mergeCell ref="Q91:R91"/>
    <mergeCell ref="Q92:R92"/>
    <mergeCell ref="Q93:R93"/>
    <mergeCell ref="Q94:R94"/>
    <mergeCell ref="Q95:R95"/>
    <mergeCell ref="Q96:R96"/>
    <mergeCell ref="Q97:R97"/>
    <mergeCell ref="A98:F98"/>
    <mergeCell ref="F99:J99"/>
    <mergeCell ref="K99:N99"/>
    <mergeCell ref="A99:A100"/>
    <mergeCell ref="B99:D100"/>
    <mergeCell ref="E99:E100"/>
    <mergeCell ref="O99:P100"/>
    <mergeCell ref="Q99:S100"/>
    <mergeCell ref="F100:G100"/>
    <mergeCell ref="H100:J100"/>
    <mergeCell ref="K100:L100"/>
    <mergeCell ref="M100:N100"/>
    <mergeCell ref="Q85:R85"/>
    <mergeCell ref="Q86:R86"/>
    <mergeCell ref="Q87:R87"/>
    <mergeCell ref="Q88:R88"/>
    <mergeCell ref="Q81:R81"/>
    <mergeCell ref="Q82:R82"/>
    <mergeCell ref="Q83:R83"/>
    <mergeCell ref="Q84:R84"/>
    <mergeCell ref="Q89:R89"/>
    <mergeCell ref="Q71:R71"/>
    <mergeCell ref="Q72:R72"/>
    <mergeCell ref="Q73:R73"/>
    <mergeCell ref="Q74:R74"/>
    <mergeCell ref="Q75:R75"/>
    <mergeCell ref="Q76:R76"/>
    <mergeCell ref="Q78:R78"/>
    <mergeCell ref="Q79:R79"/>
    <mergeCell ref="Q80:R80"/>
    <mergeCell ref="Q66:R66"/>
    <mergeCell ref="Q68:R68"/>
    <mergeCell ref="Q69:R69"/>
    <mergeCell ref="Q61:R61"/>
    <mergeCell ref="Q62:R62"/>
    <mergeCell ref="Q63:R63"/>
    <mergeCell ref="Q64:R64"/>
    <mergeCell ref="Q54:R54"/>
    <mergeCell ref="Q57:R57"/>
    <mergeCell ref="Q58:R58"/>
    <mergeCell ref="Q59:R59"/>
    <mergeCell ref="Q60:R60"/>
    <mergeCell ref="Q65:R65"/>
    <mergeCell ref="Q47:R47"/>
    <mergeCell ref="Q40:R40"/>
    <mergeCell ref="Q41:R41"/>
    <mergeCell ref="Q42:R42"/>
    <mergeCell ref="Q43:R43"/>
    <mergeCell ref="Q70:R70"/>
    <mergeCell ref="Q50:R50"/>
    <mergeCell ref="Q51:R51"/>
    <mergeCell ref="Q52:R52"/>
    <mergeCell ref="Q53:R53"/>
    <mergeCell ref="C31:C32"/>
    <mergeCell ref="Q32:R32"/>
    <mergeCell ref="Q33:R33"/>
    <mergeCell ref="Q34:R34"/>
    <mergeCell ref="Q35:R35"/>
    <mergeCell ref="Q36:R36"/>
    <mergeCell ref="Q21:R21"/>
    <mergeCell ref="Q22:R22"/>
    <mergeCell ref="Q23:R23"/>
    <mergeCell ref="Q48:R48"/>
    <mergeCell ref="Q30:R30"/>
    <mergeCell ref="Q31:R31"/>
    <mergeCell ref="Q39:R39"/>
    <mergeCell ref="Q44:R44"/>
    <mergeCell ref="Q45:R45"/>
    <mergeCell ref="Q46:R46"/>
    <mergeCell ref="Q28:R28"/>
    <mergeCell ref="T15:T17"/>
    <mergeCell ref="U15:U17"/>
    <mergeCell ref="V15:V17"/>
    <mergeCell ref="S15:S17"/>
    <mergeCell ref="Q24:R24"/>
    <mergeCell ref="Q25:R25"/>
    <mergeCell ref="Q26:R26"/>
    <mergeCell ref="Q27:R27"/>
    <mergeCell ref="Q18:R18"/>
    <mergeCell ref="W15:W17"/>
    <mergeCell ref="N16:O16"/>
    <mergeCell ref="P16:R16"/>
    <mergeCell ref="E16:E17"/>
    <mergeCell ref="F16:F17"/>
    <mergeCell ref="G16:G17"/>
    <mergeCell ref="H16:H17"/>
    <mergeCell ref="I16:I17"/>
    <mergeCell ref="J16:J17"/>
    <mergeCell ref="K16:K17"/>
    <mergeCell ref="A15:A17"/>
    <mergeCell ref="B15:D17"/>
    <mergeCell ref="L16:L17"/>
    <mergeCell ref="M16:M17"/>
    <mergeCell ref="Q17:R17"/>
    <mergeCell ref="A9:S9"/>
    <mergeCell ref="A10:S10"/>
    <mergeCell ref="A11:S11"/>
    <mergeCell ref="A12:S12"/>
    <mergeCell ref="A13:S13"/>
    <mergeCell ref="M1:S1"/>
    <mergeCell ref="B2:C2"/>
    <mergeCell ref="M2:S2"/>
    <mergeCell ref="M3:S3"/>
    <mergeCell ref="H15:J15"/>
    <mergeCell ref="K15:M15"/>
    <mergeCell ref="N15:R15"/>
    <mergeCell ref="A14:G14"/>
    <mergeCell ref="E15:G15"/>
    <mergeCell ref="B8:C8"/>
    <mergeCell ref="F8:H8"/>
    <mergeCell ref="O8:P8"/>
    <mergeCell ref="P4:S4"/>
    <mergeCell ref="A5:S5"/>
    <mergeCell ref="A6:S6"/>
    <mergeCell ref="A7:S7"/>
  </mergeCells>
  <phoneticPr fontId="0" type="noConversion"/>
  <dataValidations count="2">
    <dataValidation type="list" allowBlank="1" showInputMessage="1" showErrorMessage="1" sqref="T1:T1048576 V5:V7 AE8 V9:V14 V98:V65536">
      <formula1>'Исходник '!$G$1:$G$5</formula1>
    </dataValidation>
    <dataValidation type="list" allowBlank="1" showInputMessage="1" showErrorMessage="1" sqref="W1:W1048576">
      <formula1>'Исходник '!$H$1:$H$4</formula1>
    </dataValidation>
  </dataValidations>
  <pageMargins left="0.39374999999999999" right="0.19652800000000001" top="0.59027799999999997" bottom="0.4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8"/>
  <sheetViews>
    <sheetView topLeftCell="A13" zoomScale="85" workbookViewId="0">
      <selection activeCell="Y38" sqref="Y38"/>
    </sheetView>
  </sheetViews>
  <sheetFormatPr defaultRowHeight="12.75" outlineLevelCol="1"/>
  <cols>
    <col min="1" max="1" width="4.28515625" style="7" customWidth="1"/>
    <col min="2" max="2" width="14.42578125" style="7" customWidth="1"/>
    <col min="3" max="3" width="6.140625" style="7" customWidth="1"/>
    <col min="4" max="4" width="8.5703125" style="7" customWidth="1"/>
    <col min="5" max="5" width="10.28515625" style="7" customWidth="1"/>
    <col min="6" max="6" width="8.7109375" style="7" customWidth="1"/>
    <col min="7" max="7" width="4.85546875" style="7" customWidth="1"/>
    <col min="8" max="8" width="7.28515625" style="7" customWidth="1"/>
    <col min="9" max="9" width="6.28515625" style="7" customWidth="1"/>
    <col min="10" max="10" width="1.5703125" style="7" customWidth="1"/>
    <col min="11" max="11" width="6.28515625" style="7" customWidth="1"/>
    <col min="12" max="12" width="7.7109375" style="7" customWidth="1"/>
    <col min="13" max="14" width="6.7109375" style="7" customWidth="1"/>
    <col min="15" max="17" width="7.7109375" style="7" customWidth="1"/>
    <col min="18" max="18" width="8.5703125" style="7" customWidth="1"/>
    <col min="19" max="19" width="11.85546875" style="7" customWidth="1"/>
    <col min="20" max="23" width="9.140625" style="213" outlineLevel="1"/>
    <col min="24" max="16384" width="9.140625" style="7"/>
  </cols>
  <sheetData>
    <row r="1" spans="1:23" ht="12.75" customHeight="1"/>
    <row r="2" spans="1:23" ht="18" customHeight="1">
      <c r="A2" s="343"/>
      <c r="B2" s="230" t="str">
        <f ca="1">'Исходник '!B3</f>
        <v>ООО «ТМ-Электро»</v>
      </c>
      <c r="C2" s="230"/>
      <c r="D2" s="344"/>
      <c r="K2" s="664" t="s">
        <v>489</v>
      </c>
      <c r="L2" s="664"/>
      <c r="M2" s="659">
        <f ca="1">'Исходник '!B19</f>
        <v>0</v>
      </c>
      <c r="N2" s="657"/>
      <c r="O2" s="657"/>
      <c r="P2" s="657"/>
      <c r="Q2" s="657"/>
      <c r="R2" s="657"/>
      <c r="S2" s="657"/>
    </row>
    <row r="3" spans="1:23" s="76" customFormat="1" ht="18" customHeight="1">
      <c r="A3" s="100"/>
      <c r="B3" s="317" t="s">
        <v>632</v>
      </c>
      <c r="C3" s="287"/>
      <c r="D3" s="286"/>
      <c r="E3" s="36"/>
      <c r="F3" s="36"/>
      <c r="G3" s="36"/>
      <c r="H3" s="36"/>
      <c r="I3" s="36"/>
      <c r="J3" s="36"/>
      <c r="K3" s="664" t="s">
        <v>491</v>
      </c>
      <c r="L3" s="664"/>
      <c r="M3" s="659" t="str">
        <f ca="1">'Исходник '!B20</f>
        <v>Фитнес-клуб</v>
      </c>
      <c r="N3" s="657"/>
      <c r="O3" s="657"/>
      <c r="P3" s="657"/>
      <c r="Q3" s="657"/>
      <c r="R3" s="657"/>
      <c r="S3" s="657"/>
      <c r="T3" s="216"/>
      <c r="U3" s="216"/>
      <c r="V3" s="216"/>
      <c r="W3" s="216"/>
    </row>
    <row r="4" spans="1:23" ht="18.75" customHeight="1">
      <c r="A4" s="2"/>
      <c r="B4" s="6" t="str">
        <f ca="1">CONCATENATE('Исходник '!A5," ",'Исходник '!B5)</f>
        <v>Свидетельство о регистрации № 6231-2</v>
      </c>
      <c r="C4" s="2"/>
      <c r="D4" s="2"/>
      <c r="E4" s="3"/>
      <c r="F4" s="3"/>
      <c r="G4" s="3"/>
      <c r="H4" s="3"/>
      <c r="I4" s="3"/>
      <c r="J4" s="3"/>
      <c r="K4" s="664" t="s">
        <v>494</v>
      </c>
      <c r="L4" s="664"/>
      <c r="M4" s="656">
        <f ca="1">'Исходник '!B21</f>
        <v>0</v>
      </c>
      <c r="N4" s="657"/>
      <c r="O4" s="657"/>
      <c r="P4" s="657"/>
      <c r="Q4" s="657"/>
      <c r="R4" s="657"/>
      <c r="S4" s="657"/>
    </row>
    <row r="5" spans="1:23" ht="18" customHeight="1">
      <c r="A5" s="70"/>
      <c r="B5" s="6" t="str">
        <f ca="1">CONCATENATE('Исходник '!A7," ",'Исходник '!B7)</f>
        <v xml:space="preserve">Действительно до «11» января 2022 г. </v>
      </c>
      <c r="C5" s="230"/>
      <c r="D5" s="345"/>
      <c r="E5" s="346"/>
      <c r="F5" s="5"/>
      <c r="G5" s="5"/>
      <c r="H5" s="5"/>
      <c r="I5" s="5"/>
      <c r="J5" s="5"/>
      <c r="K5" s="132" t="s">
        <v>633</v>
      </c>
      <c r="L5" s="10"/>
      <c r="P5" s="659" t="str">
        <f ca="1">'Исходник '!B34</f>
        <v>29 января 2020г.</v>
      </c>
      <c r="Q5" s="659"/>
      <c r="R5" s="659"/>
      <c r="S5" s="659"/>
    </row>
    <row r="6" spans="1:23" ht="18" customHeight="1">
      <c r="A6" s="651" t="str">
        <f ca="1">CONCATENATE('Исходник '!A16," ",'Исходник '!D15)</f>
        <v>Протокол  №505-4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</row>
    <row r="7" spans="1:23" ht="18" customHeight="1">
      <c r="A7" s="660" t="s">
        <v>921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</row>
    <row r="8" spans="1:23" ht="18" customHeight="1">
      <c r="A8" s="651" t="s">
        <v>518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</row>
    <row r="9" spans="1:23" ht="18" customHeight="1">
      <c r="B9" s="653" t="str">
        <f ca="1">'Исходник '!A36</f>
        <v>Температура воздуха:</v>
      </c>
      <c r="C9" s="655"/>
      <c r="D9" s="655"/>
      <c r="E9" s="72">
        <f ca="1">'Исходник '!B36</f>
        <v>21</v>
      </c>
      <c r="F9" s="7" t="s">
        <v>414</v>
      </c>
      <c r="H9" s="270"/>
      <c r="I9" s="72">
        <f ca="1">'Исходник '!B37</f>
        <v>58</v>
      </c>
      <c r="J9" s="88"/>
      <c r="K9" s="7" t="s">
        <v>415</v>
      </c>
      <c r="O9" s="72">
        <f ca="1">'Исходник '!B38</f>
        <v>741</v>
      </c>
      <c r="P9" s="7" t="s">
        <v>525</v>
      </c>
    </row>
    <row r="10" spans="1:23" ht="18" customHeight="1">
      <c r="A10" s="651" t="s">
        <v>922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</row>
    <row r="11" spans="1:23" ht="18" customHeight="1">
      <c r="A11" s="508" t="str">
        <f ca="1">'Исходник '!B23</f>
        <v>эксплуатационные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</row>
    <row r="12" spans="1:23" ht="18" customHeight="1">
      <c r="A12" s="715" t="s">
        <v>923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</row>
    <row r="13" spans="1:23" ht="18" customHeight="1">
      <c r="A13" s="651" t="s">
        <v>924</v>
      </c>
      <c r="B13" s="651"/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</row>
    <row r="14" spans="1:23" ht="18" customHeight="1">
      <c r="A14" s="500" t="s">
        <v>416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</row>
    <row r="15" spans="1:23" ht="18" customHeight="1">
      <c r="A15" s="664" t="s">
        <v>926</v>
      </c>
      <c r="B15" s="664"/>
      <c r="C15" s="664"/>
      <c r="D15" s="664"/>
      <c r="E15" s="664"/>
      <c r="F15" s="664"/>
    </row>
    <row r="16" spans="1:23" s="6" customFormat="1" ht="8.25" customHeight="1">
      <c r="A16" s="611" t="s">
        <v>540</v>
      </c>
      <c r="B16" s="612" t="s">
        <v>417</v>
      </c>
      <c r="C16" s="710"/>
      <c r="D16" s="711"/>
      <c r="E16" s="613" t="s">
        <v>418</v>
      </c>
      <c r="F16" s="613"/>
      <c r="G16" s="613"/>
      <c r="H16" s="613"/>
      <c r="I16" s="613"/>
      <c r="J16" s="613"/>
      <c r="K16" s="614"/>
      <c r="L16" s="612" t="s">
        <v>419</v>
      </c>
      <c r="M16" s="613"/>
      <c r="N16" s="614"/>
      <c r="O16" s="612" t="s">
        <v>420</v>
      </c>
      <c r="P16" s="613"/>
      <c r="Q16" s="614"/>
      <c r="R16" s="612" t="s">
        <v>421</v>
      </c>
      <c r="S16" s="614"/>
      <c r="T16" s="229"/>
      <c r="U16" s="229"/>
      <c r="V16" s="229"/>
      <c r="W16" s="229"/>
    </row>
    <row r="17" spans="1:25" s="6" customFormat="1" ht="61.5" customHeight="1">
      <c r="A17" s="611"/>
      <c r="B17" s="712"/>
      <c r="C17" s="713"/>
      <c r="D17" s="714"/>
      <c r="E17" s="618"/>
      <c r="F17" s="618"/>
      <c r="G17" s="618"/>
      <c r="H17" s="618"/>
      <c r="I17" s="618"/>
      <c r="J17" s="618"/>
      <c r="K17" s="619"/>
      <c r="L17" s="617"/>
      <c r="M17" s="618"/>
      <c r="N17" s="619"/>
      <c r="O17" s="617"/>
      <c r="P17" s="618"/>
      <c r="Q17" s="619"/>
      <c r="R17" s="617"/>
      <c r="S17" s="619"/>
      <c r="T17" s="716" t="s">
        <v>422</v>
      </c>
      <c r="U17" s="716" t="s">
        <v>423</v>
      </c>
      <c r="V17" s="716" t="s">
        <v>865</v>
      </c>
      <c r="W17" s="716" t="s">
        <v>424</v>
      </c>
    </row>
    <row r="18" spans="1:25" s="6" customFormat="1" ht="15.75" customHeight="1">
      <c r="A18" s="611"/>
      <c r="B18" s="712"/>
      <c r="C18" s="713"/>
      <c r="D18" s="714"/>
      <c r="E18" s="717" t="s">
        <v>425</v>
      </c>
      <c r="F18" s="719" t="s">
        <v>426</v>
      </c>
      <c r="G18" s="720"/>
      <c r="H18" s="719" t="s">
        <v>427</v>
      </c>
      <c r="I18" s="719" t="s">
        <v>428</v>
      </c>
      <c r="J18" s="719"/>
      <c r="K18" s="719"/>
      <c r="L18" s="611" t="s">
        <v>448</v>
      </c>
      <c r="M18" s="611" t="s">
        <v>441</v>
      </c>
      <c r="N18" s="611" t="s">
        <v>449</v>
      </c>
      <c r="O18" s="611" t="s">
        <v>448</v>
      </c>
      <c r="P18" s="611" t="s">
        <v>441</v>
      </c>
      <c r="Q18" s="611" t="s">
        <v>449</v>
      </c>
      <c r="R18" s="611" t="s">
        <v>429</v>
      </c>
      <c r="S18" s="611" t="s">
        <v>430</v>
      </c>
      <c r="T18" s="716"/>
      <c r="U18" s="716"/>
      <c r="V18" s="716"/>
      <c r="W18" s="716"/>
    </row>
    <row r="19" spans="1:25" s="6" customFormat="1" ht="111" customHeight="1">
      <c r="A19" s="709"/>
      <c r="B19" s="712"/>
      <c r="C19" s="713"/>
      <c r="D19" s="714"/>
      <c r="E19" s="718"/>
      <c r="F19" s="721"/>
      <c r="G19" s="721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16"/>
      <c r="U19" s="716"/>
      <c r="V19" s="716"/>
      <c r="W19" s="716"/>
    </row>
    <row r="20" spans="1:25" s="35" customFormat="1" ht="26.1" customHeight="1">
      <c r="A20" s="335">
        <v>1</v>
      </c>
      <c r="B20" s="529">
        <v>2</v>
      </c>
      <c r="C20" s="529"/>
      <c r="D20" s="529"/>
      <c r="E20" s="228"/>
      <c r="F20" s="529">
        <v>4</v>
      </c>
      <c r="G20" s="529"/>
      <c r="H20" s="335">
        <v>5</v>
      </c>
      <c r="I20" s="529">
        <v>6</v>
      </c>
      <c r="J20" s="529"/>
      <c r="K20" s="529"/>
      <c r="L20" s="335">
        <v>7</v>
      </c>
      <c r="M20" s="335">
        <v>8</v>
      </c>
      <c r="N20" s="335">
        <v>9</v>
      </c>
      <c r="O20" s="335">
        <v>10</v>
      </c>
      <c r="P20" s="335">
        <v>11</v>
      </c>
      <c r="Q20" s="335">
        <v>12</v>
      </c>
      <c r="R20" s="335">
        <v>13</v>
      </c>
      <c r="S20" s="335">
        <v>14</v>
      </c>
      <c r="T20" s="338"/>
      <c r="U20" s="338"/>
      <c r="V20" s="338"/>
      <c r="W20" s="338"/>
    </row>
    <row r="21" spans="1:25" s="145" customFormat="1" ht="26.1" customHeight="1">
      <c r="A21" s="227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5"/>
      <c r="T21" s="169"/>
      <c r="U21" s="169"/>
      <c r="V21" s="224"/>
      <c r="W21" s="169"/>
    </row>
    <row r="22" spans="1:25" s="145" customFormat="1" ht="26.1" customHeight="1">
      <c r="A22" s="166">
        <v>22</v>
      </c>
      <c r="B22" s="334" t="s">
        <v>877</v>
      </c>
      <c r="C22" s="237" t="s">
        <v>431</v>
      </c>
      <c r="D22" s="223" t="str">
        <f>IF(V22="АВС","~380В","~220В")</f>
        <v>~380В</v>
      </c>
      <c r="E22" s="183" t="s">
        <v>432</v>
      </c>
      <c r="F22" s="322" t="s">
        <v>433</v>
      </c>
      <c r="G22" s="222" t="str">
        <f>W22</f>
        <v>С</v>
      </c>
      <c r="H22" s="220">
        <f>T22</f>
        <v>16</v>
      </c>
      <c r="I22" s="322">
        <f>IF(W22="В",T22*3,IF(W22="С",T22*5,T22*10))</f>
        <v>80</v>
      </c>
      <c r="J22" s="336" t="s">
        <v>452</v>
      </c>
      <c r="K22" s="154">
        <f>IF(W22="В",T22*5,IF(W22="С",T22*10,T22*20))</f>
        <v>160</v>
      </c>
      <c r="L22" s="221">
        <f>IF(OR(V22="В",V22="С"),"-",220/O22)</f>
        <v>2.4444444444444446</v>
      </c>
      <c r="M22" s="221">
        <f>IF(OR(V22="А",V22="С"),"-",220/P22)</f>
        <v>2.2000000000000002</v>
      </c>
      <c r="N22" s="221">
        <f>IF(OR(V22="А",V22="В"),"-",220/Q22)</f>
        <v>2.2000000000000002</v>
      </c>
      <c r="O22" s="220">
        <f>IF(OR(V22="В",V22="С"),"-",TRUNC((U22-U22*6/100)/10,0)*10)</f>
        <v>90</v>
      </c>
      <c r="P22" s="220">
        <f>IF(OR(V22="А",V22="С"),"-",TRUNC((U22+U22*4/100)/10,0)*10)</f>
        <v>100</v>
      </c>
      <c r="Q22" s="220">
        <f>IF(OR(V22="А",V22="В"),"-",TRUNC(U22/10,0)*10)</f>
        <v>100</v>
      </c>
      <c r="R22" s="56" t="s">
        <v>434</v>
      </c>
      <c r="S22" s="56" t="s">
        <v>435</v>
      </c>
      <c r="T22" s="169">
        <v>16</v>
      </c>
      <c r="U22" s="169">
        <v>100</v>
      </c>
      <c r="V22" s="149" t="s">
        <v>440</v>
      </c>
      <c r="W22" s="169" t="s">
        <v>449</v>
      </c>
    </row>
    <row r="23" spans="1:25" s="145" customFormat="1" ht="26.1" customHeight="1">
      <c r="A23" s="166">
        <v>1</v>
      </c>
      <c r="B23" s="334" t="s">
        <v>877</v>
      </c>
      <c r="C23" s="237" t="s">
        <v>431</v>
      </c>
      <c r="D23" s="223" t="str">
        <f>IF(V23="АВС","~380В","~220В")</f>
        <v>~220В</v>
      </c>
      <c r="E23" s="183" t="s">
        <v>945</v>
      </c>
      <c r="F23" s="322" t="s">
        <v>433</v>
      </c>
      <c r="G23" s="222" t="str">
        <f>W23</f>
        <v>С</v>
      </c>
      <c r="H23" s="220">
        <f>T23</f>
        <v>32</v>
      </c>
      <c r="I23" s="322">
        <f>IF(W23="В",T23*3,IF(W23="С",T23*5,T23*10))</f>
        <v>160</v>
      </c>
      <c r="J23" s="336" t="s">
        <v>452</v>
      </c>
      <c r="K23" s="154">
        <f>IF(W23="В",T23*5,IF(W23="С",T23*10,T23*20))</f>
        <v>320</v>
      </c>
      <c r="L23" s="221">
        <f>IF(OR(V23="В",V23="С"),"-",220/O23)</f>
        <v>0.33846153846153848</v>
      </c>
      <c r="M23" s="221" t="str">
        <f>IF(OR(V23="А",V23="С"),"-",220/P23)</f>
        <v>-</v>
      </c>
      <c r="N23" s="221" t="str">
        <f>IF(OR(V23="А",V23="В"),"-",220/Q23)</f>
        <v>-</v>
      </c>
      <c r="O23" s="220">
        <f>IF(OR(V23="В",V23="С"),"-",TRUNC((U23-U23*6/100)/10,0)*10)</f>
        <v>650</v>
      </c>
      <c r="P23" s="220" t="str">
        <f>IF(OR(V23="А",V23="С"),"-",TRUNC((U23+U23*4/100)/10,0)*10)</f>
        <v>-</v>
      </c>
      <c r="Q23" s="220" t="str">
        <f>IF(OR(V23="А",V23="В"),"-",TRUNC(U23/10,0)*10)</f>
        <v>-</v>
      </c>
      <c r="R23" s="56" t="s">
        <v>436</v>
      </c>
      <c r="S23" s="56" t="s">
        <v>435</v>
      </c>
      <c r="T23" s="169">
        <v>32</v>
      </c>
      <c r="U23" s="169">
        <v>700</v>
      </c>
      <c r="V23" s="149" t="s">
        <v>448</v>
      </c>
      <c r="W23" s="169" t="s">
        <v>449</v>
      </c>
    </row>
    <row r="24" spans="1:25" s="145" customFormat="1" ht="26.1" customHeight="1">
      <c r="A24" s="166"/>
      <c r="B24" s="334"/>
      <c r="C24" s="237"/>
      <c r="D24" s="223"/>
      <c r="E24" s="183"/>
      <c r="F24" s="322"/>
      <c r="G24" s="222"/>
      <c r="H24" s="220"/>
      <c r="I24" s="322"/>
      <c r="J24" s="336"/>
      <c r="K24" s="154"/>
      <c r="L24" s="221"/>
      <c r="M24" s="221"/>
      <c r="N24" s="221"/>
      <c r="O24" s="220"/>
      <c r="P24" s="220"/>
      <c r="Q24" s="220"/>
      <c r="R24" s="56"/>
      <c r="S24" s="56"/>
      <c r="T24" s="169"/>
      <c r="U24" s="169"/>
      <c r="V24" s="136"/>
      <c r="W24" s="185"/>
    </row>
    <row r="25" spans="1:25" ht="18.75" customHeight="1">
      <c r="A25" s="696" t="s">
        <v>946</v>
      </c>
      <c r="B25" s="696"/>
      <c r="C25" s="696"/>
      <c r="D25" s="696"/>
      <c r="E25" s="696"/>
      <c r="F25" s="654"/>
      <c r="Y25" s="88"/>
    </row>
    <row r="26" spans="1:25" ht="18" customHeight="1">
      <c r="A26" s="679" t="s">
        <v>540</v>
      </c>
      <c r="B26" s="453" t="s">
        <v>541</v>
      </c>
      <c r="C26" s="625"/>
      <c r="D26" s="486"/>
      <c r="E26" s="679" t="s">
        <v>542</v>
      </c>
      <c r="F26" s="457" t="s">
        <v>544</v>
      </c>
      <c r="G26" s="459"/>
      <c r="H26" s="459"/>
      <c r="I26" s="459"/>
      <c r="J26" s="458"/>
      <c r="K26" s="457" t="s">
        <v>545</v>
      </c>
      <c r="L26" s="459"/>
      <c r="M26" s="459"/>
      <c r="N26" s="458"/>
      <c r="O26" s="453" t="s">
        <v>546</v>
      </c>
      <c r="P26" s="454"/>
      <c r="Q26" s="679" t="s">
        <v>547</v>
      </c>
      <c r="R26" s="679"/>
      <c r="S26" s="679"/>
    </row>
    <row r="27" spans="1:25" ht="26.25" customHeight="1">
      <c r="A27" s="679"/>
      <c r="B27" s="481"/>
      <c r="C27" s="628"/>
      <c r="D27" s="482"/>
      <c r="E27" s="679"/>
      <c r="F27" s="457" t="s">
        <v>548</v>
      </c>
      <c r="G27" s="458"/>
      <c r="H27" s="457" t="s">
        <v>549</v>
      </c>
      <c r="I27" s="459"/>
      <c r="J27" s="458"/>
      <c r="K27" s="457" t="s">
        <v>550</v>
      </c>
      <c r="L27" s="458"/>
      <c r="M27" s="457" t="s">
        <v>551</v>
      </c>
      <c r="N27" s="458"/>
      <c r="O27" s="455"/>
      <c r="P27" s="456"/>
      <c r="Q27" s="679"/>
      <c r="R27" s="679"/>
      <c r="S27" s="679"/>
    </row>
    <row r="28" spans="1:25" ht="51.75" customHeight="1">
      <c r="A28" s="56">
        <v>1</v>
      </c>
      <c r="B28" s="457" t="str">
        <f ca="1">'Исходник '!B56</f>
        <v>MPI-520</v>
      </c>
      <c r="C28" s="459"/>
      <c r="D28" s="458"/>
      <c r="E28" s="154">
        <f ca="1">'Исходник '!C56</f>
        <v>723895</v>
      </c>
      <c r="F28" s="457" t="str">
        <f ca="1">'Исходник '!F58:G58</f>
        <v>0-1999 Ом (0,01 Ом)
0,001...40кА (0,001кА)</v>
      </c>
      <c r="G28" s="458"/>
      <c r="H28" s="457" t="str">
        <f ca="1">'Исходник '!H58:I58</f>
        <v xml:space="preserve"> ± (5% ZS+5 е.м.р.)                     -∆I; +∆I;</v>
      </c>
      <c r="I28" s="459"/>
      <c r="J28" s="458"/>
      <c r="K28" s="487">
        <f ca="1">'Исходник '!J56</f>
        <v>43530</v>
      </c>
      <c r="L28" s="488"/>
      <c r="M28" s="487">
        <f ca="1">'Исходник '!L56</f>
        <v>43895</v>
      </c>
      <c r="N28" s="488"/>
      <c r="O28" s="487" t="str">
        <f ca="1">'Исходник '!N56</f>
        <v>№18182-А</v>
      </c>
      <c r="P28" s="458"/>
      <c r="Q28" s="679" t="str">
        <f ca="1">'Исходник '!P56</f>
        <v>ООО "СОНЕЛ"</v>
      </c>
      <c r="R28" s="679"/>
      <c r="S28" s="679"/>
    </row>
    <row r="29" spans="1:25" ht="27.75" customHeight="1">
      <c r="A29" s="56">
        <v>2</v>
      </c>
      <c r="B29" s="457" t="str">
        <f ca="1">'Исходник '!B61</f>
        <v>ИВТМ-7</v>
      </c>
      <c r="C29" s="459"/>
      <c r="D29" s="458"/>
      <c r="E29" s="154">
        <f ca="1">'Исходник '!C61</f>
        <v>20084</v>
      </c>
      <c r="F29" s="457" t="str">
        <f ca="1">'Исходник '!F61:G61</f>
        <v>0-99 %
-20 +60 0С</v>
      </c>
      <c r="G29" s="458"/>
      <c r="H29" s="457" t="str">
        <f ca="1">'Исходник '!H61:I61</f>
        <v>± 2%
± 0,2 0С</v>
      </c>
      <c r="I29" s="459"/>
      <c r="J29" s="458"/>
      <c r="K29" s="487">
        <f ca="1">'Исходник '!J61</f>
        <v>43517</v>
      </c>
      <c r="L29" s="488"/>
      <c r="M29" s="487" t="str">
        <f ca="1">'Исходник '!L61</f>
        <v>21.02.2020.</v>
      </c>
      <c r="N29" s="488"/>
      <c r="O29" s="487" t="str">
        <f ca="1">'Исходник '!N61</f>
        <v>№197</v>
      </c>
      <c r="P29" s="458"/>
      <c r="Q29" s="679" t="str">
        <f ca="1">'Исходник '!P61</f>
        <v>ООО НПК "АВИАПРИБОР"</v>
      </c>
      <c r="R29" s="679"/>
      <c r="S29" s="679"/>
    </row>
    <row r="30" spans="1:25" ht="27.75" customHeight="1">
      <c r="A30" s="56">
        <v>3</v>
      </c>
      <c r="B30" s="457" t="str">
        <f ca="1">'Исходник '!B62</f>
        <v>Барометр М 67</v>
      </c>
      <c r="C30" s="459"/>
      <c r="D30" s="458"/>
      <c r="E30" s="154">
        <f ca="1">'Исходник '!C62</f>
        <v>74</v>
      </c>
      <c r="F30" s="457" t="str">
        <f ca="1">'Исходник '!F62:G62</f>
        <v>610-790
 мм.рт.ст</v>
      </c>
      <c r="G30" s="458"/>
      <c r="H30" s="457" t="str">
        <f ca="1">'Исходник '!H62:I62</f>
        <v>± 0,8 мм.рт.ст.</v>
      </c>
      <c r="I30" s="459"/>
      <c r="J30" s="458"/>
      <c r="K30" s="487">
        <f ca="1">'Исходник '!J62</f>
        <v>43517</v>
      </c>
      <c r="L30" s="488"/>
      <c r="M30" s="487" t="str">
        <f ca="1">'Исходник '!L62</f>
        <v>21.02.2020.</v>
      </c>
      <c r="N30" s="488"/>
      <c r="O30" s="487" t="str">
        <f ca="1">'Исходник '!N62</f>
        <v>№200</v>
      </c>
      <c r="P30" s="458"/>
      <c r="Q30" s="679" t="str">
        <f ca="1">'Исходник '!P62</f>
        <v>ООО НПК "АВИАПРИБОР"</v>
      </c>
      <c r="R30" s="679"/>
      <c r="S30" s="679"/>
    </row>
    <row r="31" spans="1:25" ht="22.5" customHeight="1">
      <c r="A31" s="13"/>
      <c r="B31" s="91" t="s">
        <v>947</v>
      </c>
      <c r="C31" s="13"/>
      <c r="D31" s="91"/>
    </row>
    <row r="32" spans="1:25" ht="15.95" customHeight="1">
      <c r="A32" s="92"/>
      <c r="B32" s="7" t="s">
        <v>948</v>
      </c>
      <c r="C32" s="19"/>
      <c r="D32" s="19"/>
      <c r="E32" s="19"/>
      <c r="F32" s="19"/>
      <c r="G32" s="19"/>
      <c r="H32" s="19"/>
      <c r="I32" s="19"/>
      <c r="K32" s="93"/>
      <c r="L32" s="93" t="s">
        <v>949</v>
      </c>
      <c r="M32" s="93"/>
      <c r="N32" s="93"/>
      <c r="O32" s="93"/>
      <c r="P32" s="93"/>
      <c r="Q32" s="93"/>
      <c r="R32" s="93"/>
      <c r="S32" s="93"/>
    </row>
    <row r="33" spans="1:25" ht="15.95" customHeight="1">
      <c r="A33" s="92"/>
      <c r="B33" s="93" t="s">
        <v>950</v>
      </c>
      <c r="C33" s="93"/>
      <c r="D33" s="93"/>
      <c r="E33" s="93"/>
      <c r="F33" s="93"/>
      <c r="G33" s="93"/>
      <c r="H33" s="19"/>
      <c r="I33" s="19"/>
      <c r="K33" s="93"/>
      <c r="L33" s="93" t="s">
        <v>951</v>
      </c>
      <c r="M33" s="93"/>
      <c r="N33" s="93"/>
      <c r="O33" s="93"/>
      <c r="P33" s="93"/>
      <c r="Q33" s="93"/>
      <c r="R33" s="93"/>
      <c r="S33" s="93"/>
    </row>
    <row r="34" spans="1:25" ht="15.95" customHeight="1">
      <c r="A34" s="13"/>
      <c r="B34" s="132" t="s">
        <v>437</v>
      </c>
      <c r="C34" s="205"/>
      <c r="D34" s="206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</row>
    <row r="35" spans="1:25" ht="15.95" customHeight="1">
      <c r="A35" s="13"/>
      <c r="B35" s="9" t="s">
        <v>408</v>
      </c>
      <c r="C35" s="13"/>
      <c r="D35" s="9"/>
    </row>
    <row r="36" spans="1:25" ht="15.95" customHeight="1">
      <c r="A36" s="13"/>
      <c r="B36" s="94" t="s">
        <v>409</v>
      </c>
      <c r="C36" s="1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25" ht="18.75" customHeight="1">
      <c r="A37" s="13"/>
      <c r="B37" s="94" t="s">
        <v>410</v>
      </c>
      <c r="C37" s="1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25" s="61" customFormat="1" ht="310.5" customHeight="1">
      <c r="A38" s="218"/>
      <c r="B38" s="200" t="s">
        <v>438</v>
      </c>
      <c r="C38" s="218"/>
      <c r="D38" s="725" t="s">
        <v>407</v>
      </c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217"/>
      <c r="U38" s="217"/>
      <c r="V38" s="217"/>
      <c r="W38" s="217"/>
    </row>
    <row r="39" spans="1:25" s="76" customFormat="1" ht="30.75" customHeight="1">
      <c r="A39" s="64"/>
      <c r="B39" s="95" t="s">
        <v>412</v>
      </c>
      <c r="C39" s="96"/>
      <c r="D39" s="705" t="s">
        <v>0</v>
      </c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216"/>
      <c r="U39" s="216"/>
      <c r="V39" s="216"/>
      <c r="W39" s="216"/>
      <c r="Y39" s="7"/>
    </row>
    <row r="40" spans="1:25" ht="15.95" customHeight="1">
      <c r="A40" s="682" t="s">
        <v>790</v>
      </c>
      <c r="B40" s="682"/>
      <c r="C40" s="682"/>
      <c r="D40" s="632" t="s">
        <v>749</v>
      </c>
      <c r="E40" s="724"/>
      <c r="F40" s="724"/>
      <c r="H40" s="632"/>
      <c r="I40" s="632"/>
      <c r="J40" s="58"/>
      <c r="K40" s="65"/>
      <c r="L40" s="632" t="str">
        <f ca="1">'Исходник '!B12</f>
        <v>Евдокимов А.О.</v>
      </c>
      <c r="M40" s="632"/>
      <c r="N40" s="632"/>
      <c r="Y40" s="76"/>
    </row>
    <row r="41" spans="1:25" ht="15.95" customHeight="1">
      <c r="A41" s="682"/>
      <c r="B41" s="722"/>
      <c r="C41" s="722"/>
      <c r="D41" s="607" t="s">
        <v>751</v>
      </c>
      <c r="E41" s="723"/>
      <c r="F41" s="723"/>
      <c r="H41" s="607" t="s">
        <v>653</v>
      </c>
      <c r="I41" s="607"/>
      <c r="J41" s="57"/>
      <c r="K41" s="57"/>
      <c r="L41" s="607" t="s">
        <v>791</v>
      </c>
      <c r="M41" s="607"/>
      <c r="N41" s="607"/>
    </row>
    <row r="42" spans="1:25" ht="15.95" customHeight="1">
      <c r="A42" s="682"/>
      <c r="B42" s="722"/>
      <c r="C42" s="722"/>
      <c r="D42" s="632" t="s">
        <v>792</v>
      </c>
      <c r="E42" s="724"/>
      <c r="F42" s="724"/>
      <c r="H42" s="650"/>
      <c r="I42" s="650"/>
      <c r="J42" s="65"/>
      <c r="K42" s="65"/>
      <c r="L42" s="650" t="str">
        <f ca="1">'Исходник '!B13</f>
        <v>Кокшаров С.В.</v>
      </c>
      <c r="M42" s="650"/>
      <c r="N42" s="650"/>
    </row>
    <row r="43" spans="1:25" ht="15.95" customHeight="1">
      <c r="A43" s="97"/>
      <c r="B43" s="97"/>
      <c r="C43" s="97"/>
      <c r="D43" s="607" t="s">
        <v>751</v>
      </c>
      <c r="E43" s="723"/>
      <c r="F43" s="723"/>
      <c r="H43" s="607" t="s">
        <v>653</v>
      </c>
      <c r="I43" s="607"/>
      <c r="J43" s="57"/>
      <c r="K43" s="57"/>
      <c r="L43" s="607" t="s">
        <v>791</v>
      </c>
      <c r="M43" s="607"/>
      <c r="N43" s="607"/>
    </row>
    <row r="44" spans="1:25" ht="15.95" customHeight="1">
      <c r="A44" s="682" t="s">
        <v>793</v>
      </c>
      <c r="B44" s="722"/>
      <c r="C44" s="722"/>
      <c r="D44" s="632" t="s">
        <v>749</v>
      </c>
      <c r="E44" s="724"/>
      <c r="F44" s="724"/>
      <c r="H44" s="650"/>
      <c r="I44" s="650"/>
      <c r="J44" s="65"/>
      <c r="K44" s="65"/>
      <c r="L44" s="632" t="str">
        <f ca="1">'Исходник '!B12</f>
        <v>Евдокимов А.О.</v>
      </c>
      <c r="M44" s="632"/>
      <c r="N44" s="632"/>
    </row>
    <row r="45" spans="1:25" ht="15.95" customHeight="1">
      <c r="A45" s="23"/>
      <c r="B45" s="23"/>
      <c r="C45" s="23"/>
      <c r="D45" s="607" t="s">
        <v>751</v>
      </c>
      <c r="E45" s="723"/>
      <c r="F45" s="723"/>
      <c r="H45" s="607" t="s">
        <v>653</v>
      </c>
      <c r="I45" s="607"/>
      <c r="J45" s="57"/>
      <c r="K45" s="57"/>
      <c r="L45" s="607" t="s">
        <v>791</v>
      </c>
      <c r="M45" s="607"/>
      <c r="N45" s="607"/>
    </row>
    <row r="46" spans="1:25" s="214" customFormat="1" ht="15.75" customHeight="1">
      <c r="A46" s="707" t="s">
        <v>794</v>
      </c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215"/>
      <c r="U46" s="215"/>
      <c r="V46" s="215"/>
      <c r="W46" s="215"/>
      <c r="Y46" s="7"/>
    </row>
    <row r="47" spans="1:25" s="214" customFormat="1" ht="11.1" customHeight="1">
      <c r="A47" s="707" t="s">
        <v>795</v>
      </c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215"/>
      <c r="U47" s="215"/>
      <c r="V47" s="215"/>
      <c r="W47" s="215"/>
    </row>
    <row r="48" spans="1:25" ht="15.75">
      <c r="A48" s="5"/>
      <c r="B48" s="5"/>
      <c r="C48" s="5"/>
      <c r="Y48" s="214"/>
    </row>
  </sheetData>
  <mergeCells count="101">
    <mergeCell ref="D45:F45"/>
    <mergeCell ref="H45:I45"/>
    <mergeCell ref="L45:N45"/>
    <mergeCell ref="A46:S46"/>
    <mergeCell ref="A47:S47"/>
    <mergeCell ref="A42:C42"/>
    <mergeCell ref="D42:F42"/>
    <mergeCell ref="H42:I42"/>
    <mergeCell ref="L42:N42"/>
    <mergeCell ref="D43:F43"/>
    <mergeCell ref="H43:I43"/>
    <mergeCell ref="L43:N43"/>
    <mergeCell ref="A44:C44"/>
    <mergeCell ref="D44:F44"/>
    <mergeCell ref="H40:I40"/>
    <mergeCell ref="L40:N40"/>
    <mergeCell ref="H44:I44"/>
    <mergeCell ref="L44:N44"/>
    <mergeCell ref="D38:S38"/>
    <mergeCell ref="D39:S39"/>
    <mergeCell ref="B29:D29"/>
    <mergeCell ref="F29:G29"/>
    <mergeCell ref="H29:J29"/>
    <mergeCell ref="K29:L29"/>
    <mergeCell ref="A41:C41"/>
    <mergeCell ref="D41:F41"/>
    <mergeCell ref="H41:I41"/>
    <mergeCell ref="L41:N41"/>
    <mergeCell ref="A40:C40"/>
    <mergeCell ref="D40:F40"/>
    <mergeCell ref="M29:N29"/>
    <mergeCell ref="O29:P29"/>
    <mergeCell ref="Q29:S29"/>
    <mergeCell ref="B30:D30"/>
    <mergeCell ref="F30:G30"/>
    <mergeCell ref="H30:J30"/>
    <mergeCell ref="K30:L30"/>
    <mergeCell ref="M30:N30"/>
    <mergeCell ref="O30:P30"/>
    <mergeCell ref="Q30:S30"/>
    <mergeCell ref="O26:P27"/>
    <mergeCell ref="Q26:S27"/>
    <mergeCell ref="F27:G27"/>
    <mergeCell ref="H27:J27"/>
    <mergeCell ref="K27:L27"/>
    <mergeCell ref="M27:N27"/>
    <mergeCell ref="K26:N26"/>
    <mergeCell ref="A26:A27"/>
    <mergeCell ref="B28:D28"/>
    <mergeCell ref="F28:G28"/>
    <mergeCell ref="H28:J28"/>
    <mergeCell ref="K28:L28"/>
    <mergeCell ref="E16:K17"/>
    <mergeCell ref="L16:N17"/>
    <mergeCell ref="M28:N28"/>
    <mergeCell ref="O28:P28"/>
    <mergeCell ref="Q28:S28"/>
    <mergeCell ref="B20:D20"/>
    <mergeCell ref="F20:G20"/>
    <mergeCell ref="I20:K20"/>
    <mergeCell ref="A25:F25"/>
    <mergeCell ref="F26:J26"/>
    <mergeCell ref="N18:N19"/>
    <mergeCell ref="O18:O19"/>
    <mergeCell ref="B26:D27"/>
    <mergeCell ref="E26:E27"/>
    <mergeCell ref="T17:T19"/>
    <mergeCell ref="U17:U19"/>
    <mergeCell ref="P18:P19"/>
    <mergeCell ref="Q18:Q19"/>
    <mergeCell ref="R18:R19"/>
    <mergeCell ref="S18:S19"/>
    <mergeCell ref="A8:S8"/>
    <mergeCell ref="B9:D9"/>
    <mergeCell ref="A10:S10"/>
    <mergeCell ref="A11:S11"/>
    <mergeCell ref="V17:V19"/>
    <mergeCell ref="W17:W19"/>
    <mergeCell ref="E18:E19"/>
    <mergeCell ref="F18:G19"/>
    <mergeCell ref="H18:H19"/>
    <mergeCell ref="I18:K19"/>
    <mergeCell ref="O16:Q17"/>
    <mergeCell ref="R16:S17"/>
    <mergeCell ref="A16:A19"/>
    <mergeCell ref="B16:D19"/>
    <mergeCell ref="A12:S12"/>
    <mergeCell ref="A13:S13"/>
    <mergeCell ref="A14:S14"/>
    <mergeCell ref="A15:F15"/>
    <mergeCell ref="L18:L19"/>
    <mergeCell ref="M18:M19"/>
    <mergeCell ref="A7:S7"/>
    <mergeCell ref="K4:L4"/>
    <mergeCell ref="M4:S4"/>
    <mergeCell ref="P5:S5"/>
    <mergeCell ref="A6:S6"/>
    <mergeCell ref="K2:L2"/>
    <mergeCell ref="M2:S2"/>
    <mergeCell ref="K3:L3"/>
    <mergeCell ref="M3:S3"/>
  </mergeCells>
  <phoneticPr fontId="0" type="noConversion"/>
  <dataValidations count="2">
    <dataValidation type="list" allowBlank="1" showInputMessage="1" showErrorMessage="1" sqref="V1:V1048576">
      <formula1>'Исходник '!$G$1:$G$5</formula1>
    </dataValidation>
    <dataValidation type="list" allowBlank="1" showInputMessage="1" showErrorMessage="1" sqref="W1:W1048576">
      <formula1>'Исходник '!$H$1:$H$4</formula1>
    </dataValidation>
  </dataValidations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T48"/>
  <sheetViews>
    <sheetView zoomScale="85" workbookViewId="0">
      <selection activeCell="AN46" sqref="AN46"/>
    </sheetView>
  </sheetViews>
  <sheetFormatPr defaultRowHeight="12.75" outlineLevelCol="1"/>
  <cols>
    <col min="1" max="1" width="5.28515625" customWidth="1"/>
    <col min="2" max="2" width="10.7109375" customWidth="1"/>
    <col min="3" max="3" width="7.42578125" customWidth="1"/>
    <col min="4" max="4" width="10.7109375" customWidth="1"/>
    <col min="5" max="6" width="3.28515625" customWidth="1"/>
    <col min="7" max="7" width="2.28515625" customWidth="1"/>
    <col min="8" max="8" width="3.28515625" customWidth="1"/>
    <col min="9" max="9" width="2.140625" customWidth="1"/>
    <col min="10" max="10" width="3.42578125" customWidth="1"/>
    <col min="11" max="11" width="3.28515625" customWidth="1"/>
    <col min="12" max="13" width="1.5703125" customWidth="1"/>
    <col min="14" max="15" width="3.28515625" customWidth="1"/>
    <col min="16" max="16" width="0.7109375" customWidth="1"/>
    <col min="17" max="18" width="3.28515625" customWidth="1"/>
    <col min="19" max="19" width="3.140625" customWidth="1"/>
    <col min="20" max="20" width="4.85546875" customWidth="1"/>
    <col min="21" max="21" width="2.5703125" customWidth="1"/>
    <col min="22" max="22" width="4.5703125" customWidth="1"/>
    <col min="23" max="23" width="3.5703125" customWidth="1"/>
    <col min="24" max="24" width="5.140625" customWidth="1"/>
    <col min="25" max="25" width="4.7109375" customWidth="1"/>
    <col min="26" max="26" width="2.140625" customWidth="1"/>
    <col min="27" max="27" width="3.28515625" customWidth="1"/>
    <col min="28" max="28" width="4.140625" customWidth="1"/>
    <col min="29" max="31" width="3.28515625" customWidth="1"/>
    <col min="32" max="32" width="2.5703125" customWidth="1"/>
    <col min="33" max="33" width="3.28515625" customWidth="1"/>
    <col min="34" max="34" width="3" customWidth="1"/>
    <col min="35" max="36" width="3.28515625" customWidth="1"/>
    <col min="37" max="37" width="4.85546875" customWidth="1"/>
    <col min="38" max="38" width="4.140625" customWidth="1"/>
    <col min="39" max="39" width="9.140625" style="7" outlineLevel="1"/>
    <col min="40" max="40" width="7.28515625" style="7" customWidth="1" outlineLevel="1"/>
    <col min="41" max="41" width="8.42578125" customWidth="1" outlineLevel="1"/>
    <col min="42" max="42" width="10.140625" customWidth="1" outlineLevel="1"/>
    <col min="43" max="43" width="3.28515625" customWidth="1"/>
    <col min="44" max="45" width="2.140625" customWidth="1"/>
    <col min="51" max="51" width="21.28515625" customWidth="1"/>
  </cols>
  <sheetData>
    <row r="1" spans="1:42" ht="26.25" customHeight="1">
      <c r="A1" s="70"/>
      <c r="B1" s="9" t="str">
        <f ca="1">'Исходник '!B3</f>
        <v>ООО «ТМ-Электро»</v>
      </c>
      <c r="C1" s="9"/>
      <c r="D1" s="15"/>
      <c r="T1" s="9" t="s">
        <v>489</v>
      </c>
      <c r="W1" s="691">
        <f ca="1">'Исходник '!B19</f>
        <v>0</v>
      </c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/>
      <c r="AN1"/>
    </row>
    <row r="2" spans="1:42" s="55" customFormat="1" ht="17.100000000000001" customHeight="1">
      <c r="A2" s="66"/>
      <c r="B2" s="278" t="s">
        <v>1</v>
      </c>
      <c r="C2" s="6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T2" s="64" t="s">
        <v>491</v>
      </c>
      <c r="V2" s="59"/>
      <c r="W2" s="603" t="str">
        <f ca="1">'Исходник '!B20</f>
        <v>Фитнес-клуб</v>
      </c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</row>
    <row r="3" spans="1:42" s="55" customFormat="1" ht="19.5" customHeight="1">
      <c r="A3" s="66"/>
      <c r="B3" s="100" t="str">
        <f ca="1">CONCATENATE('Исходник '!A5," ",'Исходник '!B5)</f>
        <v>Свидетельство о регистрации № 6231-2</v>
      </c>
      <c r="C3" s="10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T3" s="64" t="s">
        <v>494</v>
      </c>
      <c r="U3" s="266"/>
      <c r="W3" s="553">
        <f ca="1">'Исходник '!B21</f>
        <v>0</v>
      </c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</row>
    <row r="4" spans="1:42" s="55" customFormat="1" ht="16.5" customHeight="1">
      <c r="A4" s="66"/>
      <c r="B4" s="100" t="str">
        <f ca="1">CONCATENATE('Исходник '!A7," ",'Исходник '!B7)</f>
        <v xml:space="preserve">Действительно до «11» января 2022 г. </v>
      </c>
      <c r="C4" s="100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T4" s="64" t="s">
        <v>633</v>
      </c>
      <c r="AA4" s="59"/>
      <c r="AB4" s="59"/>
      <c r="AC4" s="603" t="str">
        <f ca="1">'Исходник '!B34</f>
        <v>29 января 2020г.</v>
      </c>
      <c r="AD4" s="554"/>
      <c r="AE4" s="554"/>
      <c r="AF4" s="554"/>
      <c r="AG4" s="554"/>
      <c r="AH4" s="554"/>
      <c r="AI4" s="554"/>
      <c r="AJ4" s="554"/>
      <c r="AK4" s="554"/>
      <c r="AL4" s="554"/>
    </row>
    <row r="5" spans="1:42" ht="23.25" customHeight="1">
      <c r="A5" s="651" t="str">
        <f ca="1">CONCATENATE('Исходник '!A17," ",'Исходник '!D16,)</f>
        <v>ТЕХНИЧЕСКИЙ ОТЧЁТ №505-5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</row>
    <row r="6" spans="1:42" ht="17.100000000000001" customHeight="1">
      <c r="A6" s="660" t="s">
        <v>2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</row>
    <row r="7" spans="1:42" ht="17.100000000000001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</row>
    <row r="8" spans="1:42" ht="17.100000000000001" customHeight="1">
      <c r="A8" s="7"/>
      <c r="B8" s="726" t="s">
        <v>798</v>
      </c>
      <c r="C8" s="726"/>
      <c r="D8" s="726"/>
      <c r="E8" s="72">
        <f ca="1">'Исходник '!B36</f>
        <v>21</v>
      </c>
      <c r="F8" s="7" t="s">
        <v>521</v>
      </c>
      <c r="I8" s="726" t="s">
        <v>799</v>
      </c>
      <c r="J8" s="726"/>
      <c r="K8" s="726"/>
      <c r="L8" s="726"/>
      <c r="M8" s="726"/>
      <c r="N8" s="726"/>
      <c r="O8" s="726"/>
      <c r="P8" s="652">
        <f ca="1">'Исходник '!B37</f>
        <v>58</v>
      </c>
      <c r="Q8" s="727"/>
      <c r="R8" s="12" t="s">
        <v>523</v>
      </c>
      <c r="S8" s="726" t="s">
        <v>800</v>
      </c>
      <c r="T8" s="728"/>
      <c r="U8" s="728"/>
      <c r="V8" s="728"/>
      <c r="W8" s="728"/>
      <c r="X8" s="728"/>
      <c r="Y8" s="72">
        <f ca="1">'Исходник '!B38</f>
        <v>741</v>
      </c>
      <c r="Z8" s="7" t="s">
        <v>525</v>
      </c>
      <c r="AB8" s="7"/>
      <c r="AC8" s="7"/>
    </row>
    <row r="9" spans="1:42" ht="17.100000000000001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</row>
    <row r="10" spans="1:42" s="300" customFormat="1" ht="17.100000000000001" customHeight="1">
      <c r="A10" s="730" t="str">
        <f ca="1">'Исходник '!B23</f>
        <v>эксплуатационные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299"/>
      <c r="AN10" s="299"/>
    </row>
    <row r="11" spans="1:42" ht="17.100000000000001" customHeight="1">
      <c r="A11" s="715" t="s">
        <v>802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</row>
    <row r="12" spans="1:42" ht="17.100000000000001" customHeight="1">
      <c r="A12" s="651" t="s">
        <v>858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</row>
    <row r="13" spans="1:42" ht="17.100000000000001" customHeight="1">
      <c r="A13" s="555" t="s">
        <v>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</row>
    <row r="14" spans="1:42" ht="17.100000000000001" customHeight="1">
      <c r="A14" s="664" t="s">
        <v>804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</row>
    <row r="15" spans="1:42" s="134" customFormat="1" ht="17.100000000000001" customHeight="1">
      <c r="A15" s="679" t="s">
        <v>540</v>
      </c>
      <c r="B15" s="453" t="s">
        <v>4</v>
      </c>
      <c r="C15" s="454"/>
      <c r="D15" s="679" t="s">
        <v>5</v>
      </c>
      <c r="E15" s="679" t="s">
        <v>6</v>
      </c>
      <c r="F15" s="679"/>
      <c r="G15" s="679"/>
      <c r="H15" s="679"/>
      <c r="I15" s="679"/>
      <c r="J15" s="679"/>
      <c r="K15" s="729" t="s">
        <v>7</v>
      </c>
      <c r="L15" s="729"/>
      <c r="M15" s="729"/>
      <c r="N15" s="729" t="s">
        <v>8</v>
      </c>
      <c r="O15" s="729"/>
      <c r="P15" s="729"/>
      <c r="Q15" s="679" t="s">
        <v>9</v>
      </c>
      <c r="R15" s="679"/>
      <c r="S15" s="679"/>
      <c r="T15" s="679"/>
      <c r="U15" s="679"/>
      <c r="V15" s="679"/>
      <c r="W15" s="731" t="s">
        <v>10</v>
      </c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661" t="s">
        <v>422</v>
      </c>
      <c r="AN15" s="662" t="s">
        <v>865</v>
      </c>
      <c r="AO15" s="661" t="s">
        <v>424</v>
      </c>
      <c r="AP15" s="732" t="s">
        <v>11</v>
      </c>
    </row>
    <row r="16" spans="1:42" s="134" customFormat="1" ht="17.100000000000001" customHeight="1">
      <c r="A16" s="679"/>
      <c r="B16" s="479"/>
      <c r="C16" s="480"/>
      <c r="D16" s="679"/>
      <c r="E16" s="679"/>
      <c r="F16" s="679"/>
      <c r="G16" s="679"/>
      <c r="H16" s="679"/>
      <c r="I16" s="679"/>
      <c r="J16" s="679"/>
      <c r="K16" s="729"/>
      <c r="L16" s="729"/>
      <c r="M16" s="729"/>
      <c r="N16" s="729"/>
      <c r="O16" s="729"/>
      <c r="P16" s="729"/>
      <c r="Q16" s="679"/>
      <c r="R16" s="679"/>
      <c r="S16" s="679"/>
      <c r="T16" s="679"/>
      <c r="U16" s="679"/>
      <c r="V16" s="679"/>
      <c r="W16" s="679" t="s">
        <v>12</v>
      </c>
      <c r="X16" s="679"/>
      <c r="Y16" s="679"/>
      <c r="Z16" s="679"/>
      <c r="AA16" s="679"/>
      <c r="AB16" s="679"/>
      <c r="AC16" s="679" t="s">
        <v>13</v>
      </c>
      <c r="AD16" s="679"/>
      <c r="AE16" s="679"/>
      <c r="AF16" s="679"/>
      <c r="AG16" s="679"/>
      <c r="AH16" s="679"/>
      <c r="AI16" s="679"/>
      <c r="AJ16" s="679"/>
      <c r="AK16" s="679"/>
      <c r="AL16" s="679"/>
      <c r="AM16" s="661"/>
      <c r="AN16" s="701"/>
      <c r="AO16" s="661"/>
      <c r="AP16" s="733"/>
    </row>
    <row r="17" spans="1:46" ht="56.25" customHeight="1">
      <c r="A17" s="679"/>
      <c r="B17" s="479"/>
      <c r="C17" s="480"/>
      <c r="D17" s="679"/>
      <c r="E17" s="729" t="s">
        <v>14</v>
      </c>
      <c r="F17" s="729"/>
      <c r="G17" s="729"/>
      <c r="H17" s="729" t="s">
        <v>15</v>
      </c>
      <c r="I17" s="729"/>
      <c r="J17" s="729"/>
      <c r="K17" s="729"/>
      <c r="L17" s="729"/>
      <c r="M17" s="729"/>
      <c r="N17" s="729"/>
      <c r="O17" s="729"/>
      <c r="P17" s="729"/>
      <c r="Q17" s="729" t="s">
        <v>16</v>
      </c>
      <c r="R17" s="729"/>
      <c r="S17" s="729"/>
      <c r="T17" s="729" t="s">
        <v>17</v>
      </c>
      <c r="U17" s="729"/>
      <c r="V17" s="729"/>
      <c r="W17" s="729" t="s">
        <v>18</v>
      </c>
      <c r="X17" s="729"/>
      <c r="Y17" s="679" t="s">
        <v>19</v>
      </c>
      <c r="Z17" s="679"/>
      <c r="AA17" s="679"/>
      <c r="AB17" s="679"/>
      <c r="AC17" s="729" t="s">
        <v>20</v>
      </c>
      <c r="AD17" s="729"/>
      <c r="AE17" s="729" t="s">
        <v>21</v>
      </c>
      <c r="AF17" s="729"/>
      <c r="AG17" s="729" t="s">
        <v>22</v>
      </c>
      <c r="AH17" s="729"/>
      <c r="AI17" s="729" t="s">
        <v>23</v>
      </c>
      <c r="AJ17" s="729"/>
      <c r="AK17" s="729" t="s">
        <v>22</v>
      </c>
      <c r="AL17" s="729"/>
      <c r="AM17" s="661"/>
      <c r="AN17" s="701"/>
      <c r="AO17" s="661"/>
      <c r="AP17" s="733"/>
    </row>
    <row r="18" spans="1:46" ht="69.75" customHeight="1">
      <c r="A18" s="679"/>
      <c r="B18" s="455"/>
      <c r="C18" s="456"/>
      <c r="D18" s="679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679" t="s">
        <v>24</v>
      </c>
      <c r="Z18" s="679"/>
      <c r="AA18" s="679" t="s">
        <v>25</v>
      </c>
      <c r="AB18" s="67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661"/>
      <c r="AN18" s="702"/>
      <c r="AO18" s="661"/>
      <c r="AP18" s="734"/>
    </row>
    <row r="19" spans="1:46" s="177" customFormat="1" ht="19.5" customHeight="1">
      <c r="A19" s="174">
        <v>1</v>
      </c>
      <c r="B19" s="175">
        <v>2</v>
      </c>
      <c r="C19" s="175"/>
      <c r="D19" s="174">
        <v>3</v>
      </c>
      <c r="E19" s="735">
        <v>4</v>
      </c>
      <c r="F19" s="735"/>
      <c r="G19" s="735"/>
      <c r="H19" s="735">
        <v>5</v>
      </c>
      <c r="I19" s="735"/>
      <c r="J19" s="735"/>
      <c r="K19" s="735">
        <v>6</v>
      </c>
      <c r="L19" s="735"/>
      <c r="M19" s="735"/>
      <c r="N19" s="735">
        <v>7</v>
      </c>
      <c r="O19" s="735"/>
      <c r="P19" s="735"/>
      <c r="Q19" s="735">
        <v>8</v>
      </c>
      <c r="R19" s="735"/>
      <c r="S19" s="735"/>
      <c r="T19" s="735">
        <v>9</v>
      </c>
      <c r="U19" s="735"/>
      <c r="V19" s="735"/>
      <c r="W19" s="735">
        <v>10</v>
      </c>
      <c r="X19" s="735"/>
      <c r="Y19" s="735">
        <v>11</v>
      </c>
      <c r="Z19" s="735"/>
      <c r="AA19" s="735">
        <v>12</v>
      </c>
      <c r="AB19" s="735"/>
      <c r="AC19" s="735">
        <v>13</v>
      </c>
      <c r="AD19" s="735"/>
      <c r="AE19" s="735">
        <v>14</v>
      </c>
      <c r="AF19" s="735"/>
      <c r="AG19" s="735">
        <v>15</v>
      </c>
      <c r="AH19" s="735"/>
      <c r="AI19" s="735">
        <v>16</v>
      </c>
      <c r="AJ19" s="735"/>
      <c r="AK19" s="735">
        <v>17</v>
      </c>
      <c r="AL19" s="735"/>
      <c r="AM19" s="176"/>
      <c r="AN19" s="176"/>
      <c r="AO19" s="176"/>
      <c r="AP19" s="176"/>
    </row>
    <row r="20" spans="1:46" s="177" customFormat="1" ht="20.25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80"/>
      <c r="AM20" s="181"/>
      <c r="AN20" s="181"/>
      <c r="AO20" s="182"/>
      <c r="AP20" s="182"/>
    </row>
    <row r="21" spans="1:46" s="171" customFormat="1" ht="54.95" customHeight="1">
      <c r="A21" s="135">
        <v>1</v>
      </c>
      <c r="B21" s="237" t="s">
        <v>26</v>
      </c>
      <c r="C21" s="162" t="str">
        <f>IF(AN21="АВС","~380В","~220В")</f>
        <v>~380В</v>
      </c>
      <c r="D21" s="183" t="s">
        <v>945</v>
      </c>
      <c r="E21" s="548" t="s">
        <v>27</v>
      </c>
      <c r="F21" s="548"/>
      <c r="G21" s="548"/>
      <c r="H21" s="545" t="s">
        <v>28</v>
      </c>
      <c r="I21" s="736"/>
      <c r="J21" s="239" t="str">
        <f>AO21</f>
        <v>С</v>
      </c>
      <c r="K21" s="548" t="s">
        <v>452</v>
      </c>
      <c r="L21" s="548"/>
      <c r="M21" s="548"/>
      <c r="N21" s="737">
        <f>AM21</f>
        <v>40</v>
      </c>
      <c r="O21" s="738"/>
      <c r="P21" s="739"/>
      <c r="Q21" s="737">
        <f>N21</f>
        <v>40</v>
      </c>
      <c r="R21" s="546"/>
      <c r="S21" s="547"/>
      <c r="T21" s="184">
        <f>IF(AO21="В",N21*3,IF(AO21="С",N21*5,N21*10))</f>
        <v>200</v>
      </c>
      <c r="U21" s="238" t="s">
        <v>452</v>
      </c>
      <c r="V21" s="147">
        <f>IF(AO21="В",N21*5,IF(AO21="С",N21*10,N21*20))</f>
        <v>400</v>
      </c>
      <c r="W21" s="672">
        <f>N21*2.55</f>
        <v>102</v>
      </c>
      <c r="X21" s="673"/>
      <c r="Y21" s="545" t="str">
        <f>IF(OR($AM21&lt;32,$AM21=32),"1-60","1-120")</f>
        <v>1-120</v>
      </c>
      <c r="Z21" s="547"/>
      <c r="AA21" s="548" t="s">
        <v>29</v>
      </c>
      <c r="AB21" s="548"/>
      <c r="AC21" s="545">
        <v>0.1</v>
      </c>
      <c r="AD21" s="547"/>
      <c r="AE21" s="545">
        <f>T21</f>
        <v>200</v>
      </c>
      <c r="AF21" s="547"/>
      <c r="AG21" s="548" t="str">
        <f ca="1">IF(C21="~380В",'Исходник '!$O$2,'Исходник '!$Q$2)</f>
        <v>-
-
-</v>
      </c>
      <c r="AH21" s="548"/>
      <c r="AI21" s="545">
        <f>V21</f>
        <v>400</v>
      </c>
      <c r="AJ21" s="547"/>
      <c r="AK21" s="548" t="str">
        <f ca="1">IF(C21="~380В",'Исходник '!$O$1,'Исходник '!$Q$1)</f>
        <v>+
+
+</v>
      </c>
      <c r="AL21" s="548"/>
      <c r="AM21" s="169">
        <v>40</v>
      </c>
      <c r="AN21" s="136" t="s">
        <v>440</v>
      </c>
      <c r="AO21" s="185" t="s">
        <v>449</v>
      </c>
      <c r="AP21" s="185" t="str">
        <f>IF(C21="~380В","раздвинь строчку","-")</f>
        <v>раздвинь строчку</v>
      </c>
      <c r="AT21" s="171" t="s">
        <v>30</v>
      </c>
    </row>
    <row r="22" spans="1:46" s="171" customFormat="1" ht="27.75" customHeight="1">
      <c r="A22" s="135">
        <v>2</v>
      </c>
      <c r="B22" s="201" t="s">
        <v>31</v>
      </c>
      <c r="C22" s="162" t="str">
        <f>IF(AN22="АВС","~380В","~220В")</f>
        <v>~220В</v>
      </c>
      <c r="D22" s="183" t="s">
        <v>944</v>
      </c>
      <c r="E22" s="548" t="s">
        <v>27</v>
      </c>
      <c r="F22" s="548"/>
      <c r="G22" s="548"/>
      <c r="H22" s="545" t="s">
        <v>28</v>
      </c>
      <c r="I22" s="736"/>
      <c r="J22" s="239" t="str">
        <f>AO22</f>
        <v>С</v>
      </c>
      <c r="K22" s="548" t="s">
        <v>452</v>
      </c>
      <c r="L22" s="548"/>
      <c r="M22" s="548"/>
      <c r="N22" s="737">
        <f>AM22</f>
        <v>20</v>
      </c>
      <c r="O22" s="738"/>
      <c r="P22" s="739"/>
      <c r="Q22" s="737">
        <f>N22</f>
        <v>20</v>
      </c>
      <c r="R22" s="546"/>
      <c r="S22" s="547"/>
      <c r="T22" s="184">
        <f>IF(AO22="В",N22*3,IF(AO22="С",N22*5,N22*10))</f>
        <v>100</v>
      </c>
      <c r="U22" s="238" t="s">
        <v>452</v>
      </c>
      <c r="V22" s="147">
        <f>IF(AO22="В",N22*5,IF(AO22="С",N22*10,N22*20))</f>
        <v>200</v>
      </c>
      <c r="W22" s="672">
        <f>N22*2.55</f>
        <v>51</v>
      </c>
      <c r="X22" s="673"/>
      <c r="Y22" s="545" t="str">
        <f>IF(OR($AM22&lt;32,$AM22=32),"1-60","1-120")</f>
        <v>1-60</v>
      </c>
      <c r="Z22" s="547"/>
      <c r="AA22" s="539">
        <v>22</v>
      </c>
      <c r="AB22" s="740"/>
      <c r="AC22" s="545">
        <v>0.1</v>
      </c>
      <c r="AD22" s="547"/>
      <c r="AE22" s="545">
        <f>T22</f>
        <v>100</v>
      </c>
      <c r="AF22" s="547"/>
      <c r="AG22" s="548" t="str">
        <f ca="1">IF(C22="~380В",'Исходник '!$O$2,'Исходник '!$Q$2)</f>
        <v>-</v>
      </c>
      <c r="AH22" s="548"/>
      <c r="AI22" s="545">
        <f>V22</f>
        <v>200</v>
      </c>
      <c r="AJ22" s="547"/>
      <c r="AK22" s="548" t="str">
        <f ca="1">IF(C22="~380В",'Исходник '!$O$1,'Исходник '!$Q$1)</f>
        <v>+</v>
      </c>
      <c r="AL22" s="548"/>
      <c r="AM22" s="169">
        <v>20</v>
      </c>
      <c r="AN22" s="136" t="s">
        <v>448</v>
      </c>
      <c r="AO22" s="185" t="s">
        <v>449</v>
      </c>
      <c r="AP22" s="185" t="str">
        <f>IF(C22="~380В","раздвинь строчку","-")</f>
        <v>-</v>
      </c>
      <c r="AT22" s="171" t="s">
        <v>32</v>
      </c>
    </row>
    <row r="23" spans="1:46" s="171" customFormat="1" ht="27.75" customHeight="1">
      <c r="A23" s="135"/>
      <c r="B23" s="201"/>
      <c r="C23" s="162"/>
      <c r="D23" s="183"/>
      <c r="E23" s="548"/>
      <c r="F23" s="548"/>
      <c r="G23" s="548"/>
      <c r="H23" s="545"/>
      <c r="I23" s="736"/>
      <c r="J23" s="239"/>
      <c r="K23" s="548"/>
      <c r="L23" s="548"/>
      <c r="M23" s="548"/>
      <c r="N23" s="737"/>
      <c r="O23" s="738"/>
      <c r="P23" s="739"/>
      <c r="Q23" s="545"/>
      <c r="R23" s="546"/>
      <c r="S23" s="547"/>
      <c r="T23" s="184"/>
      <c r="U23" s="238"/>
      <c r="V23" s="147"/>
      <c r="W23" s="672"/>
      <c r="X23" s="673"/>
      <c r="Y23" s="545"/>
      <c r="Z23" s="547"/>
      <c r="AA23" s="539"/>
      <c r="AB23" s="740"/>
      <c r="AC23" s="545"/>
      <c r="AD23" s="547"/>
      <c r="AE23" s="545"/>
      <c r="AF23" s="547"/>
      <c r="AG23" s="548"/>
      <c r="AH23" s="548"/>
      <c r="AI23" s="545"/>
      <c r="AJ23" s="547"/>
      <c r="AK23" s="548"/>
      <c r="AL23" s="548"/>
      <c r="AM23" s="169"/>
      <c r="AN23" s="136"/>
      <c r="AO23" s="185"/>
      <c r="AP23" s="185"/>
    </row>
    <row r="24" spans="1:46" s="171" customFormat="1" ht="32.25" customHeight="1">
      <c r="A24" s="173"/>
      <c r="B24" s="186"/>
      <c r="C24" s="186"/>
      <c r="D24" s="187"/>
      <c r="E24" s="173"/>
      <c r="F24" s="173"/>
      <c r="G24" s="173"/>
      <c r="H24" s="173"/>
      <c r="I24" s="188"/>
      <c r="J24" s="189"/>
      <c r="K24" s="173"/>
      <c r="L24" s="173"/>
      <c r="M24" s="173"/>
      <c r="N24" s="189"/>
      <c r="O24" s="189"/>
      <c r="P24" s="189"/>
      <c r="Q24" s="173"/>
      <c r="R24" s="173"/>
      <c r="S24" s="173"/>
      <c r="T24" s="190"/>
      <c r="U24" s="173"/>
      <c r="V24" s="191"/>
      <c r="W24" s="192"/>
      <c r="X24" s="192"/>
      <c r="Y24" s="193"/>
      <c r="Z24" s="19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94"/>
      <c r="AN24" s="137"/>
      <c r="AO24" s="189"/>
      <c r="AP24" s="189"/>
    </row>
    <row r="25" spans="1:46" ht="24.75" customHeight="1">
      <c r="A25" s="696" t="s">
        <v>841</v>
      </c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</row>
    <row r="26" spans="1:46" ht="30" customHeight="1">
      <c r="A26" s="460" t="s">
        <v>540</v>
      </c>
      <c r="B26" s="453" t="s">
        <v>541</v>
      </c>
      <c r="C26" s="680"/>
      <c r="D26" s="454"/>
      <c r="E26" s="453" t="s">
        <v>33</v>
      </c>
      <c r="F26" s="680"/>
      <c r="G26" s="454"/>
      <c r="H26" s="457" t="s">
        <v>544</v>
      </c>
      <c r="I26" s="459"/>
      <c r="J26" s="459"/>
      <c r="K26" s="459"/>
      <c r="L26" s="459"/>
      <c r="M26" s="459"/>
      <c r="N26" s="459"/>
      <c r="O26" s="458"/>
      <c r="P26" s="457" t="s">
        <v>545</v>
      </c>
      <c r="Q26" s="459"/>
      <c r="R26" s="459"/>
      <c r="S26" s="459"/>
      <c r="T26" s="459"/>
      <c r="U26" s="459"/>
      <c r="V26" s="459"/>
      <c r="W26" s="458"/>
      <c r="X26" s="453" t="s">
        <v>546</v>
      </c>
      <c r="Y26" s="680"/>
      <c r="Z26" s="680"/>
      <c r="AA26" s="680"/>
      <c r="AB26" s="454"/>
      <c r="AC26" s="453" t="s">
        <v>912</v>
      </c>
      <c r="AD26" s="680"/>
      <c r="AE26" s="680"/>
      <c r="AF26" s="680"/>
      <c r="AG26" s="680"/>
      <c r="AH26" s="680"/>
      <c r="AI26" s="680"/>
      <c r="AJ26" s="680"/>
      <c r="AK26" s="680"/>
      <c r="AL26" s="454"/>
    </row>
    <row r="27" spans="1:46" ht="32.25" customHeight="1">
      <c r="A27" s="461"/>
      <c r="B27" s="455"/>
      <c r="C27" s="681"/>
      <c r="D27" s="456"/>
      <c r="E27" s="455"/>
      <c r="F27" s="681"/>
      <c r="G27" s="456"/>
      <c r="H27" s="457" t="s">
        <v>548</v>
      </c>
      <c r="I27" s="459"/>
      <c r="J27" s="459"/>
      <c r="K27" s="458"/>
      <c r="L27" s="457" t="s">
        <v>549</v>
      </c>
      <c r="M27" s="459"/>
      <c r="N27" s="459"/>
      <c r="O27" s="458"/>
      <c r="P27" s="457" t="s">
        <v>550</v>
      </c>
      <c r="Q27" s="459"/>
      <c r="R27" s="459"/>
      <c r="S27" s="458"/>
      <c r="T27" s="457" t="s">
        <v>551</v>
      </c>
      <c r="U27" s="459"/>
      <c r="V27" s="459"/>
      <c r="W27" s="458"/>
      <c r="X27" s="455"/>
      <c r="Y27" s="681"/>
      <c r="Z27" s="681"/>
      <c r="AA27" s="681"/>
      <c r="AB27" s="456"/>
      <c r="AC27" s="455"/>
      <c r="AD27" s="681"/>
      <c r="AE27" s="681"/>
      <c r="AF27" s="681"/>
      <c r="AG27" s="681"/>
      <c r="AH27" s="681"/>
      <c r="AI27" s="681"/>
      <c r="AJ27" s="681"/>
      <c r="AK27" s="681"/>
      <c r="AL27" s="456"/>
    </row>
    <row r="28" spans="1:46" ht="39.75" customHeight="1">
      <c r="A28" s="56">
        <v>1</v>
      </c>
      <c r="B28" s="457" t="str">
        <f ca="1">'Исходник '!B56</f>
        <v>MPI-520</v>
      </c>
      <c r="C28" s="459"/>
      <c r="D28" s="458"/>
      <c r="E28" s="457">
        <f ca="1">'Исходник '!C56</f>
        <v>723895</v>
      </c>
      <c r="F28" s="459"/>
      <c r="G28" s="458"/>
      <c r="H28" s="457" t="str">
        <f ca="1">'Исходник '!F60</f>
        <v>0÷500В</v>
      </c>
      <c r="I28" s="459"/>
      <c r="J28" s="459"/>
      <c r="K28" s="458"/>
      <c r="L28" s="741" t="str">
        <f ca="1">'Исходник '!H60</f>
        <v>±(2,0% и.в.+6 е.м.р.)</v>
      </c>
      <c r="M28" s="742"/>
      <c r="N28" s="742"/>
      <c r="O28" s="743"/>
      <c r="P28" s="487">
        <f ca="1">'Исходник '!J56</f>
        <v>43530</v>
      </c>
      <c r="Q28" s="678"/>
      <c r="R28" s="678"/>
      <c r="S28" s="488"/>
      <c r="T28" s="487">
        <f ca="1">'Исходник '!L56</f>
        <v>43895</v>
      </c>
      <c r="U28" s="678"/>
      <c r="V28" s="678"/>
      <c r="W28" s="488"/>
      <c r="X28" s="457" t="str">
        <f ca="1">'Исходник '!N56</f>
        <v>№18182-А</v>
      </c>
      <c r="Y28" s="459"/>
      <c r="Z28" s="459"/>
      <c r="AA28" s="459"/>
      <c r="AB28" s="458"/>
      <c r="AC28" s="457" t="str">
        <f ca="1">'Исходник '!P56</f>
        <v>ООО "СОНЕЛ"</v>
      </c>
      <c r="AD28" s="459"/>
      <c r="AE28" s="459"/>
      <c r="AF28" s="459"/>
      <c r="AG28" s="459"/>
      <c r="AH28" s="459"/>
      <c r="AI28" s="459"/>
      <c r="AJ28" s="459"/>
      <c r="AK28" s="459"/>
      <c r="AL28" s="458"/>
    </row>
    <row r="29" spans="1:46" ht="33.75" customHeight="1">
      <c r="A29" s="56">
        <v>2</v>
      </c>
      <c r="B29" s="457" t="str">
        <f ca="1">'Исходник '!B61</f>
        <v>ИВТМ-7</v>
      </c>
      <c r="C29" s="459"/>
      <c r="D29" s="458"/>
      <c r="E29" s="457">
        <f ca="1">'Исходник '!C61</f>
        <v>20084</v>
      </c>
      <c r="F29" s="459"/>
      <c r="G29" s="458"/>
      <c r="H29" s="457" t="str">
        <f ca="1">'Исходник '!F61</f>
        <v>0-99 %
-20 +60 0С</v>
      </c>
      <c r="I29" s="459"/>
      <c r="J29" s="459"/>
      <c r="K29" s="458"/>
      <c r="L29" s="741" t="str">
        <f ca="1">'Исходник '!H61</f>
        <v>± 2%
± 0,2 0С</v>
      </c>
      <c r="M29" s="742"/>
      <c r="N29" s="742"/>
      <c r="O29" s="743"/>
      <c r="P29" s="487">
        <f ca="1">'Исходник '!J61</f>
        <v>43517</v>
      </c>
      <c r="Q29" s="678"/>
      <c r="R29" s="678"/>
      <c r="S29" s="488"/>
      <c r="T29" s="487" t="str">
        <f ca="1">'Исходник '!L61</f>
        <v>21.02.2020.</v>
      </c>
      <c r="U29" s="678"/>
      <c r="V29" s="678"/>
      <c r="W29" s="488"/>
      <c r="X29" s="457" t="str">
        <f ca="1">'Исходник '!N61</f>
        <v>№197</v>
      </c>
      <c r="Y29" s="459"/>
      <c r="Z29" s="459"/>
      <c r="AA29" s="459"/>
      <c r="AB29" s="458"/>
      <c r="AC29" s="457" t="str">
        <f ca="1">'Исходник '!P61</f>
        <v>ООО НПК "АВИАПРИБОР"</v>
      </c>
      <c r="AD29" s="459"/>
      <c r="AE29" s="459"/>
      <c r="AF29" s="459"/>
      <c r="AG29" s="459"/>
      <c r="AH29" s="459"/>
      <c r="AI29" s="459"/>
      <c r="AJ29" s="459"/>
      <c r="AK29" s="459"/>
      <c r="AL29" s="458"/>
    </row>
    <row r="30" spans="1:46" ht="33" customHeight="1">
      <c r="A30" s="56">
        <v>3</v>
      </c>
      <c r="B30" s="457" t="str">
        <f ca="1">'Исходник '!B62</f>
        <v>Барометр М 67</v>
      </c>
      <c r="C30" s="459"/>
      <c r="D30" s="458"/>
      <c r="E30" s="457">
        <f ca="1">'Исходник '!C62</f>
        <v>74</v>
      </c>
      <c r="F30" s="459"/>
      <c r="G30" s="458"/>
      <c r="H30" s="457" t="str">
        <f ca="1">'Исходник '!F62</f>
        <v>610-790
 мм.рт.ст</v>
      </c>
      <c r="I30" s="459"/>
      <c r="J30" s="459"/>
      <c r="K30" s="458"/>
      <c r="L30" s="741" t="str">
        <f ca="1">'Исходник '!H62</f>
        <v>± 0,8 мм.рт.ст.</v>
      </c>
      <c r="M30" s="742"/>
      <c r="N30" s="742"/>
      <c r="O30" s="743"/>
      <c r="P30" s="487">
        <f ca="1">'Исходник '!J62</f>
        <v>43517</v>
      </c>
      <c r="Q30" s="678"/>
      <c r="R30" s="678"/>
      <c r="S30" s="488"/>
      <c r="T30" s="487" t="str">
        <f ca="1">'Исходник '!L62</f>
        <v>21.02.2020.</v>
      </c>
      <c r="U30" s="678"/>
      <c r="V30" s="678"/>
      <c r="W30" s="488"/>
      <c r="X30" s="457" t="str">
        <f ca="1">'Исходник '!N62</f>
        <v>№200</v>
      </c>
      <c r="Y30" s="459"/>
      <c r="Z30" s="459"/>
      <c r="AA30" s="459"/>
      <c r="AB30" s="458"/>
      <c r="AC30" s="457" t="str">
        <f ca="1">'Исходник '!P62</f>
        <v>ООО НПК "АВИАПРИБОР"</v>
      </c>
      <c r="AD30" s="459"/>
      <c r="AE30" s="459"/>
      <c r="AF30" s="459"/>
      <c r="AG30" s="459"/>
      <c r="AH30" s="459"/>
      <c r="AI30" s="459"/>
      <c r="AJ30" s="459"/>
      <c r="AK30" s="459"/>
      <c r="AL30" s="458"/>
    </row>
    <row r="31" spans="1:46" ht="28.5" customHeight="1">
      <c r="A31" s="56">
        <v>4</v>
      </c>
      <c r="B31" s="457" t="str">
        <f ca="1">'Исходник '!B63</f>
        <v>РТ2048-02</v>
      </c>
      <c r="C31" s="459"/>
      <c r="D31" s="458"/>
      <c r="E31" s="457">
        <f ca="1">'Исходник '!C63</f>
        <v>1241</v>
      </c>
      <c r="F31" s="459"/>
      <c r="G31" s="458"/>
      <c r="H31" s="457" t="str">
        <f ca="1">'Исходник '!F63</f>
        <v>до 2000А</v>
      </c>
      <c r="I31" s="459"/>
      <c r="J31" s="459"/>
      <c r="K31" s="458"/>
      <c r="L31" s="741" t="str">
        <f ca="1">'Исходник '!H63</f>
        <v>±10%</v>
      </c>
      <c r="M31" s="742"/>
      <c r="N31" s="742"/>
      <c r="O31" s="743"/>
      <c r="P31" s="487">
        <f ca="1">'Исходник '!J63</f>
        <v>43186</v>
      </c>
      <c r="Q31" s="678"/>
      <c r="R31" s="678"/>
      <c r="S31" s="488"/>
      <c r="T31" s="487">
        <f ca="1">'Исходник '!L63</f>
        <v>43917</v>
      </c>
      <c r="U31" s="678"/>
      <c r="V31" s="678"/>
      <c r="W31" s="488"/>
      <c r="X31" s="457" t="str">
        <f ca="1">'Исходник '!N63</f>
        <v>№175</v>
      </c>
      <c r="Y31" s="459"/>
      <c r="Z31" s="459"/>
      <c r="AA31" s="459"/>
      <c r="AB31" s="458"/>
      <c r="AC31" s="457" t="str">
        <f ca="1">'Исходник '!P63</f>
        <v>ООО НПК "АВИАПРИБОР"</v>
      </c>
      <c r="AD31" s="459"/>
      <c r="AE31" s="459"/>
      <c r="AF31" s="459"/>
      <c r="AG31" s="459"/>
      <c r="AH31" s="459"/>
      <c r="AI31" s="459"/>
      <c r="AJ31" s="459"/>
      <c r="AK31" s="459"/>
      <c r="AL31" s="458"/>
    </row>
    <row r="32" spans="1:46" s="138" customFormat="1" ht="36" customHeight="1">
      <c r="A32" s="13"/>
      <c r="B32" s="91" t="s">
        <v>947</v>
      </c>
      <c r="C32" s="9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AM32" s="6"/>
      <c r="AN32" s="6"/>
    </row>
    <row r="33" spans="1:40" s="138" customFormat="1" ht="20.100000000000001" customHeight="1">
      <c r="A33" s="13"/>
      <c r="B33" s="747" t="s">
        <v>34</v>
      </c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6"/>
      <c r="AN33" s="6"/>
    </row>
    <row r="34" spans="1:40" s="138" customFormat="1" ht="20.100000000000001" customHeight="1">
      <c r="A34" s="13"/>
      <c r="B34" s="747" t="s">
        <v>35</v>
      </c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6"/>
      <c r="AN34" s="6"/>
    </row>
    <row r="35" spans="1:40" s="138" customFormat="1" ht="20.100000000000001" customHeight="1">
      <c r="A35" s="13"/>
      <c r="B35" s="747" t="s">
        <v>36</v>
      </c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7"/>
      <c r="AL35" s="747"/>
      <c r="AM35" s="6"/>
      <c r="AN35" s="6"/>
    </row>
    <row r="36" spans="1:40" s="138" customFormat="1" ht="20.100000000000001" customHeight="1">
      <c r="A36" s="13"/>
      <c r="B36" s="747" t="s">
        <v>37</v>
      </c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7"/>
      <c r="AJ36" s="747"/>
      <c r="AK36" s="747"/>
      <c r="AL36" s="747"/>
      <c r="AM36" s="6"/>
      <c r="AN36" s="6"/>
    </row>
    <row r="37" spans="1:40" s="138" customFormat="1" ht="18" customHeight="1">
      <c r="A37" s="9"/>
      <c r="B37" s="195" t="s">
        <v>38</v>
      </c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6"/>
      <c r="AN37" s="6"/>
    </row>
    <row r="38" spans="1:40" s="138" customFormat="1" ht="18" customHeight="1">
      <c r="A38" s="748" t="s">
        <v>789</v>
      </c>
      <c r="B38" s="749"/>
      <c r="C38" s="744" t="s">
        <v>39</v>
      </c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744"/>
      <c r="AG38" s="744"/>
      <c r="AH38" s="744"/>
      <c r="AI38" s="744"/>
      <c r="AJ38" s="744"/>
      <c r="AK38" s="744"/>
      <c r="AL38" s="744"/>
      <c r="AM38" s="6"/>
      <c r="AN38" s="6"/>
    </row>
    <row r="39" spans="1:40" s="138" customFormat="1" ht="18" customHeight="1">
      <c r="A39" s="748"/>
      <c r="B39" s="749"/>
      <c r="C39" s="744" t="s">
        <v>40</v>
      </c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4"/>
      <c r="AG39" s="744"/>
      <c r="AH39" s="744"/>
      <c r="AI39" s="744"/>
      <c r="AJ39" s="744"/>
      <c r="AK39" s="744"/>
      <c r="AL39" s="744"/>
      <c r="AM39" s="6"/>
      <c r="AN39" s="6"/>
    </row>
    <row r="40" spans="1:40" s="138" customFormat="1" ht="28.5" customHeight="1">
      <c r="A40" s="750" t="s">
        <v>790</v>
      </c>
      <c r="B40" s="750"/>
      <c r="C40" s="750"/>
      <c r="D40" s="746" t="s">
        <v>749</v>
      </c>
      <c r="E40" s="746"/>
      <c r="F40" s="746"/>
      <c r="G40" s="746"/>
      <c r="I40" s="746"/>
      <c r="J40" s="746"/>
      <c r="K40" s="746"/>
      <c r="L40" s="746"/>
      <c r="M40" s="746"/>
      <c r="N40" s="746"/>
      <c r="P40" s="746" t="str">
        <f ca="1">'Исходник '!B12</f>
        <v>Евдокимов А.О.</v>
      </c>
      <c r="Q40" s="746"/>
      <c r="R40" s="746"/>
      <c r="S40" s="746"/>
      <c r="T40" s="746"/>
      <c r="U40" s="746"/>
      <c r="V40" s="746"/>
      <c r="W40" s="746"/>
      <c r="X40" s="746"/>
      <c r="AC40" s="54"/>
      <c r="AM40" s="6"/>
      <c r="AN40" s="6"/>
    </row>
    <row r="41" spans="1:40" s="138" customFormat="1" ht="15.75" customHeight="1">
      <c r="A41" s="54"/>
      <c r="D41" s="607" t="s">
        <v>751</v>
      </c>
      <c r="E41" s="607"/>
      <c r="F41" s="607"/>
      <c r="G41" s="607"/>
      <c r="H41" s="27"/>
      <c r="I41" s="607" t="s">
        <v>653</v>
      </c>
      <c r="J41" s="607"/>
      <c r="K41" s="607"/>
      <c r="L41" s="607"/>
      <c r="M41" s="607"/>
      <c r="N41" s="607"/>
      <c r="O41" s="27"/>
      <c r="P41" s="607" t="s">
        <v>791</v>
      </c>
      <c r="Q41" s="607"/>
      <c r="R41" s="607"/>
      <c r="S41" s="607"/>
      <c r="T41" s="607"/>
      <c r="U41" s="607"/>
      <c r="V41" s="607"/>
      <c r="W41" s="607"/>
      <c r="X41" s="607"/>
      <c r="AC41" s="54"/>
      <c r="AM41" s="6"/>
      <c r="AN41" s="6"/>
    </row>
    <row r="42" spans="1:40" s="138" customFormat="1" ht="19.5" customHeight="1">
      <c r="A42" s="196"/>
      <c r="D42" s="746" t="s">
        <v>792</v>
      </c>
      <c r="E42" s="746"/>
      <c r="F42" s="746"/>
      <c r="G42" s="746"/>
      <c r="I42" s="745"/>
      <c r="J42" s="745"/>
      <c r="K42" s="745"/>
      <c r="L42" s="745"/>
      <c r="M42" s="745"/>
      <c r="N42" s="745"/>
      <c r="P42" s="746" t="str">
        <f ca="1">'Исходник '!B13</f>
        <v>Кокшаров С.В.</v>
      </c>
      <c r="Q42" s="746"/>
      <c r="R42" s="746"/>
      <c r="S42" s="746"/>
      <c r="T42" s="746"/>
      <c r="U42" s="746"/>
      <c r="V42" s="746"/>
      <c r="W42" s="746"/>
      <c r="X42" s="746"/>
      <c r="AC42" s="54"/>
      <c r="AM42" s="6"/>
      <c r="AN42" s="6"/>
    </row>
    <row r="43" spans="1:40" s="138" customFormat="1" ht="13.5" customHeight="1">
      <c r="A43" s="54"/>
      <c r="D43" s="607" t="s">
        <v>751</v>
      </c>
      <c r="E43" s="607"/>
      <c r="F43" s="607"/>
      <c r="G43" s="607"/>
      <c r="H43" s="27"/>
      <c r="I43" s="607" t="s">
        <v>653</v>
      </c>
      <c r="J43" s="607"/>
      <c r="K43" s="607"/>
      <c r="L43" s="607"/>
      <c r="M43" s="607"/>
      <c r="N43" s="607"/>
      <c r="O43" s="27"/>
      <c r="P43" s="607" t="s">
        <v>791</v>
      </c>
      <c r="Q43" s="607"/>
      <c r="R43" s="607"/>
      <c r="S43" s="607"/>
      <c r="T43" s="607"/>
      <c r="U43" s="607"/>
      <c r="V43" s="607"/>
      <c r="W43" s="607"/>
      <c r="X43" s="607"/>
      <c r="AC43" s="54"/>
      <c r="AM43" s="6"/>
      <c r="AN43" s="6"/>
    </row>
    <row r="44" spans="1:40" s="138" customFormat="1" ht="27.75" customHeight="1">
      <c r="A44" s="750" t="s">
        <v>793</v>
      </c>
      <c r="B44" s="750"/>
      <c r="C44" s="750"/>
      <c r="D44" s="746" t="s">
        <v>749</v>
      </c>
      <c r="E44" s="746"/>
      <c r="F44" s="746"/>
      <c r="G44" s="746"/>
      <c r="I44" s="745"/>
      <c r="J44" s="745"/>
      <c r="K44" s="745"/>
      <c r="L44" s="745"/>
      <c r="M44" s="745"/>
      <c r="N44" s="745"/>
      <c r="P44" s="746" t="str">
        <f ca="1">'Исходник '!B12</f>
        <v>Евдокимов А.О.</v>
      </c>
      <c r="Q44" s="746"/>
      <c r="R44" s="746"/>
      <c r="S44" s="746"/>
      <c r="T44" s="746"/>
      <c r="U44" s="746"/>
      <c r="V44" s="746"/>
      <c r="W44" s="746"/>
      <c r="X44" s="746"/>
      <c r="AC44" s="54"/>
      <c r="AM44" s="6"/>
      <c r="AN44" s="6"/>
    </row>
    <row r="45" spans="1:40" s="27" customFormat="1" ht="15.75" customHeight="1">
      <c r="A45" s="57"/>
      <c r="D45" s="607" t="s">
        <v>751</v>
      </c>
      <c r="E45" s="607"/>
      <c r="F45" s="607"/>
      <c r="G45" s="607"/>
      <c r="I45" s="607" t="s">
        <v>653</v>
      </c>
      <c r="J45" s="607"/>
      <c r="K45" s="607"/>
      <c r="L45" s="607"/>
      <c r="M45" s="607"/>
      <c r="N45" s="607"/>
      <c r="P45" s="607" t="s">
        <v>791</v>
      </c>
      <c r="Q45" s="607"/>
      <c r="R45" s="607"/>
      <c r="S45" s="607"/>
      <c r="T45" s="607"/>
      <c r="U45" s="607"/>
      <c r="V45" s="607"/>
      <c r="W45" s="607"/>
      <c r="X45" s="607"/>
      <c r="AC45" s="57"/>
      <c r="AM45" s="37"/>
      <c r="AN45" s="37"/>
    </row>
    <row r="46" spans="1:40" s="27" customFormat="1" ht="12.95" customHeight="1">
      <c r="A46" s="683" t="s">
        <v>794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3"/>
      <c r="U46" s="683"/>
      <c r="V46" s="683"/>
      <c r="W46" s="683"/>
      <c r="X46" s="683"/>
      <c r="Y46" s="683"/>
      <c r="Z46" s="683"/>
      <c r="AA46" s="683"/>
      <c r="AB46" s="683"/>
      <c r="AC46" s="683"/>
      <c r="AD46" s="683"/>
      <c r="AE46" s="683"/>
      <c r="AF46" s="683"/>
      <c r="AG46" s="683"/>
      <c r="AH46" s="683"/>
      <c r="AI46" s="683"/>
      <c r="AJ46" s="683"/>
      <c r="AK46" s="683"/>
      <c r="AL46" s="683"/>
      <c r="AM46" s="37"/>
      <c r="AN46" s="37"/>
    </row>
    <row r="47" spans="1:40" s="27" customFormat="1" ht="12.95" customHeight="1">
      <c r="A47" s="683" t="s">
        <v>795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683"/>
      <c r="AK47" s="683"/>
      <c r="AL47" s="683"/>
      <c r="AM47" s="37"/>
      <c r="AN47" s="37"/>
    </row>
    <row r="48" spans="1:40" ht="15.75" customHeight="1">
      <c r="A48" s="5"/>
    </row>
  </sheetData>
  <mergeCells count="172">
    <mergeCell ref="A47:AL47"/>
    <mergeCell ref="D43:G43"/>
    <mergeCell ref="I43:N43"/>
    <mergeCell ref="P43:X43"/>
    <mergeCell ref="A44:C44"/>
    <mergeCell ref="D44:G44"/>
    <mergeCell ref="I44:N44"/>
    <mergeCell ref="P44:X44"/>
    <mergeCell ref="D45:G45"/>
    <mergeCell ref="P40:X40"/>
    <mergeCell ref="D41:G41"/>
    <mergeCell ref="I41:N41"/>
    <mergeCell ref="P41:X41"/>
    <mergeCell ref="D42:G42"/>
    <mergeCell ref="A46:AL46"/>
    <mergeCell ref="B36:AL36"/>
    <mergeCell ref="C37:AL37"/>
    <mergeCell ref="A38:B38"/>
    <mergeCell ref="C38:AL38"/>
    <mergeCell ref="A39:B39"/>
    <mergeCell ref="I45:N45"/>
    <mergeCell ref="P45:X45"/>
    <mergeCell ref="A40:C40"/>
    <mergeCell ref="D40:G40"/>
    <mergeCell ref="I40:N40"/>
    <mergeCell ref="P30:S30"/>
    <mergeCell ref="T30:W30"/>
    <mergeCell ref="X30:AB30"/>
    <mergeCell ref="AC30:AL30"/>
    <mergeCell ref="B31:D31"/>
    <mergeCell ref="I42:N42"/>
    <mergeCell ref="P42:X42"/>
    <mergeCell ref="B33:AL33"/>
    <mergeCell ref="B34:AL34"/>
    <mergeCell ref="B35:AL35"/>
    <mergeCell ref="X28:AB28"/>
    <mergeCell ref="E31:G31"/>
    <mergeCell ref="H31:K31"/>
    <mergeCell ref="L31:O31"/>
    <mergeCell ref="P31:S31"/>
    <mergeCell ref="C39:AL39"/>
    <mergeCell ref="B30:D30"/>
    <mergeCell ref="E30:G30"/>
    <mergeCell ref="H30:K30"/>
    <mergeCell ref="L30:O30"/>
    <mergeCell ref="B28:D28"/>
    <mergeCell ref="E28:G28"/>
    <mergeCell ref="H28:K28"/>
    <mergeCell ref="L28:O28"/>
    <mergeCell ref="P28:S28"/>
    <mergeCell ref="T28:W28"/>
    <mergeCell ref="T29:W29"/>
    <mergeCell ref="X29:AB29"/>
    <mergeCell ref="AC29:AL29"/>
    <mergeCell ref="T31:W31"/>
    <mergeCell ref="X31:AB31"/>
    <mergeCell ref="AC31:AL31"/>
    <mergeCell ref="A26:A27"/>
    <mergeCell ref="B26:D27"/>
    <mergeCell ref="E26:G27"/>
    <mergeCell ref="X26:AB27"/>
    <mergeCell ref="AC28:AL28"/>
    <mergeCell ref="B29:D29"/>
    <mergeCell ref="E29:G29"/>
    <mergeCell ref="H29:K29"/>
    <mergeCell ref="L29:O29"/>
    <mergeCell ref="P29:S29"/>
    <mergeCell ref="AI22:AJ22"/>
    <mergeCell ref="AK22:AL22"/>
    <mergeCell ref="AC26:AL27"/>
    <mergeCell ref="H27:K27"/>
    <mergeCell ref="L27:O27"/>
    <mergeCell ref="P27:S27"/>
    <mergeCell ref="T27:W27"/>
    <mergeCell ref="A25:X25"/>
    <mergeCell ref="H26:O26"/>
    <mergeCell ref="P26:W26"/>
    <mergeCell ref="E23:G23"/>
    <mergeCell ref="H23:I23"/>
    <mergeCell ref="K23:M23"/>
    <mergeCell ref="N23:P23"/>
    <mergeCell ref="AE22:AF22"/>
    <mergeCell ref="AG22:AH22"/>
    <mergeCell ref="AC23:AD23"/>
    <mergeCell ref="AE23:AF23"/>
    <mergeCell ref="AG23:AH23"/>
    <mergeCell ref="AI23:AJ23"/>
    <mergeCell ref="Q23:S23"/>
    <mergeCell ref="W23:X23"/>
    <mergeCell ref="Y23:Z23"/>
    <mergeCell ref="AA23:AB23"/>
    <mergeCell ref="AK23:AL23"/>
    <mergeCell ref="E22:G22"/>
    <mergeCell ref="H22:I22"/>
    <mergeCell ref="K22:M22"/>
    <mergeCell ref="N22:P22"/>
    <mergeCell ref="Q22:S22"/>
    <mergeCell ref="W22:X22"/>
    <mergeCell ref="Y22:Z22"/>
    <mergeCell ref="AA22:AB22"/>
    <mergeCell ref="AC22:AD22"/>
    <mergeCell ref="AI21:AJ21"/>
    <mergeCell ref="AK21:AL21"/>
    <mergeCell ref="AK19:AL19"/>
    <mergeCell ref="E21:G21"/>
    <mergeCell ref="H21:I21"/>
    <mergeCell ref="K21:M21"/>
    <mergeCell ref="N21:P21"/>
    <mergeCell ref="Q21:S21"/>
    <mergeCell ref="W21:X21"/>
    <mergeCell ref="Y21:Z21"/>
    <mergeCell ref="E19:G19"/>
    <mergeCell ref="H19:J19"/>
    <mergeCell ref="K19:M19"/>
    <mergeCell ref="N19:P19"/>
    <mergeCell ref="AE21:AF21"/>
    <mergeCell ref="AG21:AH21"/>
    <mergeCell ref="AA21:AB21"/>
    <mergeCell ref="AC21:AD21"/>
    <mergeCell ref="AC19:AD19"/>
    <mergeCell ref="AE19:AF19"/>
    <mergeCell ref="AN15:AN18"/>
    <mergeCell ref="AO15:AO18"/>
    <mergeCell ref="Q19:S19"/>
    <mergeCell ref="T19:V19"/>
    <mergeCell ref="W19:X19"/>
    <mergeCell ref="Y19:Z19"/>
    <mergeCell ref="AG19:AH19"/>
    <mergeCell ref="AI19:AJ19"/>
    <mergeCell ref="AE17:AF18"/>
    <mergeCell ref="AG17:AH18"/>
    <mergeCell ref="AI17:AJ18"/>
    <mergeCell ref="AK17:AL18"/>
    <mergeCell ref="AA19:AB19"/>
    <mergeCell ref="AM15:AM18"/>
    <mergeCell ref="E17:G18"/>
    <mergeCell ref="H17:J18"/>
    <mergeCell ref="Q17:S18"/>
    <mergeCell ref="T17:V18"/>
    <mergeCell ref="AP15:AP18"/>
    <mergeCell ref="W16:AB16"/>
    <mergeCell ref="AC16:AL16"/>
    <mergeCell ref="Y17:AB17"/>
    <mergeCell ref="W17:X18"/>
    <mergeCell ref="AC17:AD18"/>
    <mergeCell ref="Y18:Z18"/>
    <mergeCell ref="AA18:AB18"/>
    <mergeCell ref="A9:AL9"/>
    <mergeCell ref="A10:AL10"/>
    <mergeCell ref="A11:AL11"/>
    <mergeCell ref="A12:AL12"/>
    <mergeCell ref="A13:AL13"/>
    <mergeCell ref="A14:AL14"/>
    <mergeCell ref="W15:AL15"/>
    <mergeCell ref="E15:J16"/>
    <mergeCell ref="W1:AL1"/>
    <mergeCell ref="W2:AL2"/>
    <mergeCell ref="W3:AL3"/>
    <mergeCell ref="AC4:AL4"/>
    <mergeCell ref="Q15:V16"/>
    <mergeCell ref="A15:A18"/>
    <mergeCell ref="B15:C18"/>
    <mergeCell ref="D15:D18"/>
    <mergeCell ref="K15:M18"/>
    <mergeCell ref="N15:P18"/>
    <mergeCell ref="A5:AL5"/>
    <mergeCell ref="A6:AL6"/>
    <mergeCell ref="A7:AL7"/>
    <mergeCell ref="B8:D8"/>
    <mergeCell ref="I8:O8"/>
    <mergeCell ref="P8:Q8"/>
    <mergeCell ref="S8:X8"/>
  </mergeCells>
  <phoneticPr fontId="0" type="noConversion"/>
  <dataValidations count="2">
    <dataValidation type="list" allowBlank="1" showInputMessage="1" showErrorMessage="1" sqref="AN1:AN1048576">
      <formula1>'Исходник '!$G$1:$G$5</formula1>
    </dataValidation>
    <dataValidation type="list" allowBlank="1" showInputMessage="1" showErrorMessage="1" sqref="AO1:AO1048576">
      <formula1>'Исходник '!$H$1:$H$4</formula1>
    </dataValidation>
  </dataValidations>
  <pageMargins left="0.35416700000000001" right="0.157639" top="0.59027799999999997" bottom="0.59027799999999997" header="0.51180599999999998" footer="0.19652800000000001"/>
  <pageSetup paperSize="9" fitToWidth="0" fitToHeight="0" orientation="landscape"/>
  <headerFooter>
    <oddFooter>&amp;C&amp;A стр.&amp;P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E68"/>
  <sheetViews>
    <sheetView topLeftCell="A22" zoomScale="85" workbookViewId="0">
      <selection activeCell="BC41" sqref="BC41"/>
    </sheetView>
  </sheetViews>
  <sheetFormatPr defaultRowHeight="12.75" outlineLevelCol="1"/>
  <cols>
    <col min="1" max="1" width="3.140625" customWidth="1"/>
    <col min="2" max="2" width="1.5703125" customWidth="1"/>
    <col min="3" max="3" width="10.7109375" customWidth="1"/>
    <col min="4" max="4" width="8.140625" customWidth="1"/>
    <col min="5" max="6" width="3.28515625" customWidth="1"/>
    <col min="7" max="7" width="3.5703125" customWidth="1"/>
    <col min="8" max="8" width="2" customWidth="1"/>
    <col min="9" max="10" width="3.28515625" customWidth="1"/>
    <col min="11" max="11" width="4.140625" customWidth="1"/>
    <col min="12" max="13" width="3.28515625" customWidth="1"/>
    <col min="14" max="14" width="3.42578125" customWidth="1"/>
    <col min="15" max="15" width="3.28515625" customWidth="1"/>
    <col min="16" max="16" width="4" customWidth="1"/>
    <col min="17" max="17" width="1.5703125" customWidth="1"/>
    <col min="18" max="26" width="3.28515625" customWidth="1"/>
    <col min="27" max="27" width="3.7109375" customWidth="1"/>
    <col min="28" max="28" width="3.28515625" customWidth="1"/>
    <col min="29" max="29" width="3.85546875" customWidth="1"/>
    <col min="30" max="30" width="2.28515625" customWidth="1"/>
    <col min="31" max="31" width="3.28515625" customWidth="1"/>
    <col min="32" max="32" width="3.7109375" customWidth="1"/>
    <col min="33" max="33" width="1.7109375" customWidth="1"/>
    <col min="34" max="37" width="3.28515625" customWidth="1"/>
    <col min="38" max="38" width="2.5703125" customWidth="1"/>
    <col min="39" max="40" width="3.28515625" customWidth="1"/>
    <col min="41" max="41" width="3.5703125" customWidth="1"/>
    <col min="42" max="42" width="8.85546875" hidden="1" customWidth="1" outlineLevel="1"/>
    <col min="43" max="43" width="17" style="99" hidden="1" customWidth="1" outlineLevel="1"/>
    <col min="44" max="44" width="3.28515625" customWidth="1" collapsed="1"/>
    <col min="45" max="54" width="3.28515625" customWidth="1"/>
    <col min="55" max="55" width="12.140625" customWidth="1"/>
    <col min="82" max="82" width="0.28515625" customWidth="1"/>
    <col min="83" max="83" width="9.140625" hidden="1" customWidth="1"/>
  </cols>
  <sheetData>
    <row r="1" spans="1:43" ht="18" customHeight="1">
      <c r="A1" s="70"/>
      <c r="B1" s="9" t="str">
        <f ca="1">'Исходник '!B3</f>
        <v>ООО «ТМ-Электро»</v>
      </c>
      <c r="V1" s="9" t="s">
        <v>489</v>
      </c>
      <c r="X1" s="9"/>
      <c r="Z1" s="659">
        <f ca="1">'Исходник '!B19</f>
        <v>0</v>
      </c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Q1" s="210"/>
    </row>
    <row r="2" spans="1:43" ht="21" customHeight="1">
      <c r="A2" s="70"/>
      <c r="B2" s="504" t="s">
        <v>632</v>
      </c>
      <c r="C2" s="516"/>
      <c r="D2" s="516"/>
      <c r="E2" s="516"/>
      <c r="F2" s="3"/>
      <c r="G2" s="3"/>
      <c r="H2" s="3"/>
      <c r="I2" s="3"/>
      <c r="J2" s="3"/>
      <c r="K2" s="3"/>
      <c r="L2" s="3"/>
      <c r="V2" s="9" t="s">
        <v>491</v>
      </c>
      <c r="X2" s="9"/>
      <c r="Z2" s="659" t="str">
        <f ca="1">'Исходник '!B20</f>
        <v>Фитнес-клуб</v>
      </c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</row>
    <row r="3" spans="1:43" ht="17.25" customHeight="1">
      <c r="A3" s="70"/>
      <c r="B3" s="6" t="str">
        <f ca="1">CONCATENATE('Исходник '!A5," ",'Исходник '!B5)</f>
        <v>Свидетельство о регистрации № 6231-2</v>
      </c>
      <c r="C3" s="3"/>
      <c r="D3" s="3"/>
      <c r="E3" s="3"/>
      <c r="F3" s="3"/>
      <c r="G3" s="3"/>
      <c r="H3" s="3"/>
      <c r="I3" s="3"/>
      <c r="J3" s="3"/>
      <c r="K3" s="3"/>
      <c r="L3" s="3"/>
      <c r="V3" s="64" t="s">
        <v>494</v>
      </c>
      <c r="X3" s="9"/>
      <c r="Z3" s="553">
        <f ca="1">'Исходник '!B21</f>
        <v>0</v>
      </c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Q3" s="210"/>
    </row>
    <row r="4" spans="1:43" ht="16.5" customHeight="1">
      <c r="A4" s="70"/>
      <c r="B4" s="6" t="str">
        <f ca="1">CONCATENATE('Исходник '!A7," ",'Исходник '!B7)</f>
        <v xml:space="preserve">Действительно до «11» января 2022 г. </v>
      </c>
      <c r="C4" s="5"/>
      <c r="D4" s="5"/>
      <c r="E4" s="5"/>
      <c r="F4" s="5"/>
      <c r="G4" s="5"/>
      <c r="H4" s="5"/>
      <c r="I4" s="5"/>
      <c r="J4" s="5"/>
      <c r="K4" s="5"/>
      <c r="L4" s="5"/>
      <c r="V4" s="9" t="s">
        <v>633</v>
      </c>
      <c r="X4" s="9"/>
      <c r="AA4" s="5"/>
      <c r="AB4" s="5"/>
      <c r="AC4" s="5"/>
      <c r="AD4" s="5"/>
      <c r="AF4" s="5"/>
      <c r="AG4" s="659" t="str">
        <f ca="1">'Исходник '!B34</f>
        <v>29 января 2020г.</v>
      </c>
      <c r="AH4" s="444"/>
      <c r="AI4" s="444"/>
      <c r="AJ4" s="444"/>
      <c r="AK4" s="444"/>
      <c r="AL4" s="444"/>
      <c r="AM4" s="444"/>
      <c r="AN4" s="444"/>
      <c r="AO4" s="444"/>
      <c r="AQ4" s="210"/>
    </row>
    <row r="5" spans="1:43" ht="22.5" customHeight="1">
      <c r="A5" s="760" t="str">
        <f ca="1">CONCATENATE('Исходник '!A16," ",'Исходник '!D17)</f>
        <v>Протокол  №505-6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Q5" s="210"/>
    </row>
    <row r="6" spans="1:43" ht="23.25" customHeight="1">
      <c r="A6" s="660" t="s">
        <v>41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60"/>
      <c r="AQ6" s="210"/>
    </row>
    <row r="7" spans="1:43" ht="21.75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  <c r="AM7" s="651"/>
      <c r="AN7" s="651"/>
      <c r="AO7" s="651"/>
      <c r="AQ7" s="210"/>
    </row>
    <row r="8" spans="1:43" ht="18" customHeight="1">
      <c r="A8" s="7"/>
      <c r="B8" s="7"/>
      <c r="C8" s="7"/>
      <c r="D8" s="71"/>
      <c r="F8" s="7"/>
      <c r="M8" s="270" t="s">
        <v>798</v>
      </c>
      <c r="N8" s="72">
        <f ca="1">'Исходник '!B36</f>
        <v>21</v>
      </c>
      <c r="O8" s="7" t="s">
        <v>521</v>
      </c>
      <c r="P8" s="7" t="s">
        <v>799</v>
      </c>
      <c r="U8" s="72">
        <f ca="1">'Исходник '!B37</f>
        <v>58</v>
      </c>
      <c r="V8" s="12" t="s">
        <v>523</v>
      </c>
      <c r="W8" s="7" t="s">
        <v>800</v>
      </c>
      <c r="AC8" s="72">
        <f ca="1">'Исходник '!B38</f>
        <v>741</v>
      </c>
      <c r="AD8" s="7" t="s">
        <v>525</v>
      </c>
      <c r="AF8" s="7"/>
      <c r="AG8" s="7"/>
      <c r="AQ8" s="210"/>
    </row>
    <row r="9" spans="1:43" ht="18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/>
      <c r="AQ9" s="210"/>
    </row>
    <row r="10" spans="1:43" ht="18" customHeight="1">
      <c r="A10" s="508" t="str">
        <f ca="1">'Исходник '!B23</f>
        <v>эксплуатационные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Q10" s="210"/>
    </row>
    <row r="11" spans="1:43" s="55" customFormat="1" ht="18" customHeight="1">
      <c r="A11" s="715" t="s">
        <v>802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  <c r="AN11" s="715"/>
      <c r="AO11" s="715"/>
      <c r="AQ11" s="98"/>
    </row>
    <row r="12" spans="1:43" ht="18" customHeight="1">
      <c r="A12" s="651" t="s">
        <v>858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Q12" s="210"/>
    </row>
    <row r="13" spans="1:43" ht="18" customHeight="1">
      <c r="A13" s="500" t="s">
        <v>42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Q13" s="210"/>
    </row>
    <row r="14" spans="1:43" ht="18" customHeight="1">
      <c r="A14" s="664" t="s">
        <v>804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Q14" s="210"/>
    </row>
    <row r="15" spans="1:43" ht="57.75" customHeight="1">
      <c r="A15" s="679" t="s">
        <v>540</v>
      </c>
      <c r="B15" s="679"/>
      <c r="C15" s="453" t="s">
        <v>43</v>
      </c>
      <c r="D15" s="454"/>
      <c r="E15" s="679" t="s">
        <v>44</v>
      </c>
      <c r="F15" s="679"/>
      <c r="G15" s="679"/>
      <c r="H15" s="679"/>
      <c r="I15" s="751" t="s">
        <v>45</v>
      </c>
      <c r="J15" s="757"/>
      <c r="K15" s="752"/>
      <c r="L15" s="751" t="s">
        <v>46</v>
      </c>
      <c r="M15" s="757"/>
      <c r="N15" s="752"/>
      <c r="O15" s="751" t="s">
        <v>47</v>
      </c>
      <c r="P15" s="757"/>
      <c r="Q15" s="752"/>
      <c r="R15" s="751" t="s">
        <v>48</v>
      </c>
      <c r="S15" s="757"/>
      <c r="T15" s="752"/>
      <c r="U15" s="751" t="s">
        <v>49</v>
      </c>
      <c r="V15" s="757"/>
      <c r="W15" s="752"/>
      <c r="X15" s="751" t="s">
        <v>50</v>
      </c>
      <c r="Y15" s="752"/>
      <c r="Z15" s="751" t="s">
        <v>51</v>
      </c>
      <c r="AA15" s="757"/>
      <c r="AB15" s="752"/>
      <c r="AC15" s="751" t="s">
        <v>52</v>
      </c>
      <c r="AD15" s="752"/>
      <c r="AE15" s="751" t="s">
        <v>53</v>
      </c>
      <c r="AF15" s="757"/>
      <c r="AG15" s="752"/>
      <c r="AH15" s="751" t="s">
        <v>52</v>
      </c>
      <c r="AI15" s="752"/>
      <c r="AJ15" s="679" t="s">
        <v>54</v>
      </c>
      <c r="AK15" s="679"/>
      <c r="AL15" s="679"/>
      <c r="AM15" s="679"/>
      <c r="AN15" s="679"/>
      <c r="AO15" s="679"/>
      <c r="AP15" s="662" t="s">
        <v>55</v>
      </c>
      <c r="AQ15" s="761" t="s">
        <v>11</v>
      </c>
    </row>
    <row r="16" spans="1:43" ht="34.5" customHeight="1">
      <c r="A16" s="679"/>
      <c r="B16" s="679"/>
      <c r="C16" s="479"/>
      <c r="D16" s="480"/>
      <c r="E16" s="679"/>
      <c r="F16" s="679"/>
      <c r="G16" s="679"/>
      <c r="H16" s="679"/>
      <c r="I16" s="753"/>
      <c r="J16" s="758"/>
      <c r="K16" s="754"/>
      <c r="L16" s="753"/>
      <c r="M16" s="758"/>
      <c r="N16" s="754"/>
      <c r="O16" s="753"/>
      <c r="P16" s="758"/>
      <c r="Q16" s="754"/>
      <c r="R16" s="753"/>
      <c r="S16" s="758"/>
      <c r="T16" s="754"/>
      <c r="U16" s="753"/>
      <c r="V16" s="758"/>
      <c r="W16" s="754"/>
      <c r="X16" s="753"/>
      <c r="Y16" s="754"/>
      <c r="Z16" s="753"/>
      <c r="AA16" s="758"/>
      <c r="AB16" s="754"/>
      <c r="AC16" s="753"/>
      <c r="AD16" s="754"/>
      <c r="AE16" s="753"/>
      <c r="AF16" s="758"/>
      <c r="AG16" s="754"/>
      <c r="AH16" s="753"/>
      <c r="AI16" s="754"/>
      <c r="AJ16" s="679"/>
      <c r="AK16" s="679"/>
      <c r="AL16" s="679"/>
      <c r="AM16" s="679"/>
      <c r="AN16" s="679"/>
      <c r="AO16" s="679"/>
      <c r="AP16" s="701"/>
      <c r="AQ16" s="733"/>
    </row>
    <row r="17" spans="1:43" ht="15.75" customHeight="1">
      <c r="A17" s="679"/>
      <c r="B17" s="679"/>
      <c r="C17" s="479"/>
      <c r="D17" s="480"/>
      <c r="E17" s="679"/>
      <c r="F17" s="679"/>
      <c r="G17" s="679"/>
      <c r="H17" s="679"/>
      <c r="I17" s="753"/>
      <c r="J17" s="758"/>
      <c r="K17" s="754"/>
      <c r="L17" s="753"/>
      <c r="M17" s="758"/>
      <c r="N17" s="754"/>
      <c r="O17" s="753"/>
      <c r="P17" s="758"/>
      <c r="Q17" s="754"/>
      <c r="R17" s="753"/>
      <c r="S17" s="758"/>
      <c r="T17" s="754"/>
      <c r="U17" s="753"/>
      <c r="V17" s="758"/>
      <c r="W17" s="754"/>
      <c r="X17" s="753"/>
      <c r="Y17" s="754"/>
      <c r="Z17" s="753"/>
      <c r="AA17" s="758"/>
      <c r="AB17" s="754"/>
      <c r="AC17" s="753"/>
      <c r="AD17" s="754"/>
      <c r="AE17" s="753"/>
      <c r="AF17" s="758"/>
      <c r="AG17" s="754"/>
      <c r="AH17" s="753"/>
      <c r="AI17" s="754"/>
      <c r="AJ17" s="679" t="s">
        <v>56</v>
      </c>
      <c r="AK17" s="679"/>
      <c r="AL17" s="679"/>
      <c r="AM17" s="679" t="s">
        <v>57</v>
      </c>
      <c r="AN17" s="679"/>
      <c r="AO17" s="679"/>
      <c r="AP17" s="701"/>
      <c r="AQ17" s="733"/>
    </row>
    <row r="18" spans="1:43" ht="35.25" customHeight="1">
      <c r="A18" s="679"/>
      <c r="B18" s="679"/>
      <c r="C18" s="455"/>
      <c r="D18" s="456"/>
      <c r="E18" s="679"/>
      <c r="F18" s="679"/>
      <c r="G18" s="679"/>
      <c r="H18" s="679"/>
      <c r="I18" s="755"/>
      <c r="J18" s="759"/>
      <c r="K18" s="756"/>
      <c r="L18" s="755"/>
      <c r="M18" s="759"/>
      <c r="N18" s="756"/>
      <c r="O18" s="755"/>
      <c r="P18" s="759"/>
      <c r="Q18" s="756"/>
      <c r="R18" s="755"/>
      <c r="S18" s="759"/>
      <c r="T18" s="756"/>
      <c r="U18" s="755"/>
      <c r="V18" s="759"/>
      <c r="W18" s="756"/>
      <c r="X18" s="755"/>
      <c r="Y18" s="756"/>
      <c r="Z18" s="755"/>
      <c r="AA18" s="759"/>
      <c r="AB18" s="756"/>
      <c r="AC18" s="755"/>
      <c r="AD18" s="756"/>
      <c r="AE18" s="755"/>
      <c r="AF18" s="759"/>
      <c r="AG18" s="756"/>
      <c r="AH18" s="755"/>
      <c r="AI18" s="756"/>
      <c r="AJ18" s="679"/>
      <c r="AK18" s="679"/>
      <c r="AL18" s="679"/>
      <c r="AM18" s="679"/>
      <c r="AN18" s="679"/>
      <c r="AO18" s="679"/>
      <c r="AP18" s="702"/>
      <c r="AQ18" s="734"/>
    </row>
    <row r="19" spans="1:43" s="348" customFormat="1" ht="19.5" customHeight="1">
      <c r="A19" s="671">
        <v>1</v>
      </c>
      <c r="B19" s="671"/>
      <c r="C19" s="101">
        <v>2</v>
      </c>
      <c r="D19" s="102"/>
      <c r="E19" s="671">
        <v>3</v>
      </c>
      <c r="F19" s="671"/>
      <c r="G19" s="671"/>
      <c r="H19" s="671"/>
      <c r="I19" s="671">
        <v>4</v>
      </c>
      <c r="J19" s="671"/>
      <c r="K19" s="671"/>
      <c r="L19" s="671">
        <v>5</v>
      </c>
      <c r="M19" s="671"/>
      <c r="N19" s="671"/>
      <c r="O19" s="671">
        <v>6</v>
      </c>
      <c r="P19" s="671"/>
      <c r="Q19" s="671"/>
      <c r="R19" s="671">
        <v>7</v>
      </c>
      <c r="S19" s="671"/>
      <c r="T19" s="671"/>
      <c r="U19" s="671">
        <v>8</v>
      </c>
      <c r="V19" s="671"/>
      <c r="W19" s="671"/>
      <c r="X19" s="671">
        <v>9</v>
      </c>
      <c r="Y19" s="671"/>
      <c r="Z19" s="671">
        <v>10</v>
      </c>
      <c r="AA19" s="671"/>
      <c r="AB19" s="671"/>
      <c r="AC19" s="671">
        <v>11</v>
      </c>
      <c r="AD19" s="671"/>
      <c r="AE19" s="671">
        <v>12</v>
      </c>
      <c r="AF19" s="671"/>
      <c r="AG19" s="671"/>
      <c r="AH19" s="671">
        <v>13</v>
      </c>
      <c r="AI19" s="671"/>
      <c r="AJ19" s="671">
        <v>14</v>
      </c>
      <c r="AK19" s="671"/>
      <c r="AL19" s="671"/>
      <c r="AM19" s="671">
        <v>15</v>
      </c>
      <c r="AN19" s="671"/>
      <c r="AO19" s="671"/>
      <c r="AP19" s="103"/>
      <c r="AQ19" s="347"/>
    </row>
    <row r="20" spans="1:43" s="7" customFormat="1" ht="21.95" customHeight="1">
      <c r="A20" s="73" t="str">
        <f ca="1">'Протокол №505-4'!A19</f>
        <v>пом. №220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5"/>
      <c r="AP20" s="104"/>
      <c r="AQ20" s="349"/>
    </row>
    <row r="21" spans="1:43" s="7" customFormat="1" ht="24.95" customHeight="1">
      <c r="A21" s="73" t="str">
        <f ca="1">'Протокол №505-4'!A20</f>
        <v>ЩС-1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5"/>
      <c r="AP21" s="104"/>
      <c r="AQ21" s="349"/>
    </row>
    <row r="22" spans="1:43" s="7" customFormat="1" ht="24.95" customHeight="1">
      <c r="A22" s="611">
        <v>1</v>
      </c>
      <c r="B22" s="611"/>
      <c r="C22" s="163" t="s">
        <v>943</v>
      </c>
      <c r="D22" s="429" t="s">
        <v>58</v>
      </c>
      <c r="E22" s="545" t="s">
        <v>878</v>
      </c>
      <c r="F22" s="459" t="s">
        <v>878</v>
      </c>
      <c r="G22" s="459" t="s">
        <v>878</v>
      </c>
      <c r="H22" s="458" t="s">
        <v>878</v>
      </c>
      <c r="I22" s="548" t="s">
        <v>589</v>
      </c>
      <c r="J22" s="548"/>
      <c r="K22" s="548"/>
      <c r="L22" s="545">
        <f t="shared" ref="L22:L28" si="0">AP22</f>
        <v>16</v>
      </c>
      <c r="M22" s="546"/>
      <c r="N22" s="547"/>
      <c r="O22" s="548" t="s">
        <v>59</v>
      </c>
      <c r="P22" s="548"/>
      <c r="Q22" s="548"/>
      <c r="R22" s="548">
        <f t="shared" ref="R22:R28" si="1">U22/2</f>
        <v>15</v>
      </c>
      <c r="S22" s="548"/>
      <c r="T22" s="548"/>
      <c r="U22" s="548">
        <v>30</v>
      </c>
      <c r="V22" s="548"/>
      <c r="W22" s="548"/>
      <c r="X22" s="548" t="s">
        <v>452</v>
      </c>
      <c r="Y22" s="548"/>
      <c r="Z22" s="548">
        <f t="shared" ref="Z22:Z28" si="2">R22</f>
        <v>15</v>
      </c>
      <c r="AA22" s="548"/>
      <c r="AB22" s="548"/>
      <c r="AC22" s="545" t="str">
        <f ca="1">IF(D22="~380В",'Исходник '!$O$2,'Исходник '!$Q$2)</f>
        <v>-</v>
      </c>
      <c r="AD22" s="547"/>
      <c r="AE22" s="548">
        <f t="shared" ref="AE22:AE28" si="3">U22</f>
        <v>30</v>
      </c>
      <c r="AF22" s="548"/>
      <c r="AG22" s="548"/>
      <c r="AH22" s="548" t="str">
        <f ca="1">IF(D22="~380В",'Исходник '!$O$1,'Исходник '!$Q$1)</f>
        <v>+</v>
      </c>
      <c r="AI22" s="548"/>
      <c r="AJ22" s="548">
        <v>0.3</v>
      </c>
      <c r="AK22" s="548"/>
      <c r="AL22" s="548"/>
      <c r="AM22" s="548">
        <v>1.3000000000000001E-2</v>
      </c>
      <c r="AN22" s="548"/>
      <c r="AO22" s="548"/>
      <c r="AP22" s="338">
        <v>16</v>
      </c>
      <c r="AQ22" s="224" t="str">
        <f t="shared" ref="AQ22:AQ28" si="4">IF(D22="~380В","раздвинь строчку","-")</f>
        <v>-</v>
      </c>
    </row>
    <row r="23" spans="1:43" s="7" customFormat="1" ht="24.95" customHeight="1">
      <c r="A23" s="611">
        <v>2</v>
      </c>
      <c r="B23" s="611"/>
      <c r="C23" s="163" t="s">
        <v>943</v>
      </c>
      <c r="D23" s="429" t="s">
        <v>58</v>
      </c>
      <c r="E23" s="545" t="s">
        <v>881</v>
      </c>
      <c r="F23" s="459" t="s">
        <v>881</v>
      </c>
      <c r="G23" s="459" t="s">
        <v>881</v>
      </c>
      <c r="H23" s="458" t="s">
        <v>881</v>
      </c>
      <c r="I23" s="548" t="s">
        <v>589</v>
      </c>
      <c r="J23" s="548"/>
      <c r="K23" s="548"/>
      <c r="L23" s="545">
        <f t="shared" si="0"/>
        <v>16</v>
      </c>
      <c r="M23" s="546"/>
      <c r="N23" s="547"/>
      <c r="O23" s="548" t="s">
        <v>59</v>
      </c>
      <c r="P23" s="548"/>
      <c r="Q23" s="548"/>
      <c r="R23" s="548">
        <f t="shared" si="1"/>
        <v>15</v>
      </c>
      <c r="S23" s="548"/>
      <c r="T23" s="548"/>
      <c r="U23" s="548">
        <v>30</v>
      </c>
      <c r="V23" s="548"/>
      <c r="W23" s="548"/>
      <c r="X23" s="548" t="s">
        <v>452</v>
      </c>
      <c r="Y23" s="548"/>
      <c r="Z23" s="548">
        <f t="shared" si="2"/>
        <v>15</v>
      </c>
      <c r="AA23" s="548"/>
      <c r="AB23" s="548"/>
      <c r="AC23" s="545" t="str">
        <f ca="1">IF(D23="~380В",'Исходник '!$O$2,'Исходник '!$Q$2)</f>
        <v>-</v>
      </c>
      <c r="AD23" s="547"/>
      <c r="AE23" s="548">
        <f t="shared" si="3"/>
        <v>30</v>
      </c>
      <c r="AF23" s="548"/>
      <c r="AG23" s="548"/>
      <c r="AH23" s="548" t="str">
        <f ca="1">IF(D23="~380В",'Исходник '!$O$1,'Исходник '!$Q$1)</f>
        <v>+</v>
      </c>
      <c r="AI23" s="548"/>
      <c r="AJ23" s="548">
        <v>0.3</v>
      </c>
      <c r="AK23" s="548"/>
      <c r="AL23" s="548"/>
      <c r="AM23" s="548">
        <v>1.4999999999999999E-2</v>
      </c>
      <c r="AN23" s="548"/>
      <c r="AO23" s="548"/>
      <c r="AP23" s="338">
        <v>16</v>
      </c>
      <c r="AQ23" s="224" t="str">
        <f t="shared" si="4"/>
        <v>-</v>
      </c>
    </row>
    <row r="24" spans="1:43" s="7" customFormat="1" ht="21.95" customHeight="1">
      <c r="A24" s="611">
        <v>3</v>
      </c>
      <c r="B24" s="611"/>
      <c r="C24" s="163" t="s">
        <v>943</v>
      </c>
      <c r="D24" s="429" t="s">
        <v>58</v>
      </c>
      <c r="E24" s="545" t="s">
        <v>882</v>
      </c>
      <c r="F24" s="459" t="s">
        <v>882</v>
      </c>
      <c r="G24" s="459" t="s">
        <v>882</v>
      </c>
      <c r="H24" s="458" t="s">
        <v>882</v>
      </c>
      <c r="I24" s="548" t="s">
        <v>589</v>
      </c>
      <c r="J24" s="548"/>
      <c r="K24" s="548"/>
      <c r="L24" s="545">
        <f t="shared" si="0"/>
        <v>16</v>
      </c>
      <c r="M24" s="546"/>
      <c r="N24" s="547"/>
      <c r="O24" s="548" t="s">
        <v>59</v>
      </c>
      <c r="P24" s="548"/>
      <c r="Q24" s="548"/>
      <c r="R24" s="548">
        <f t="shared" si="1"/>
        <v>15</v>
      </c>
      <c r="S24" s="548"/>
      <c r="T24" s="548"/>
      <c r="U24" s="548">
        <v>30</v>
      </c>
      <c r="V24" s="548"/>
      <c r="W24" s="548"/>
      <c r="X24" s="548" t="s">
        <v>452</v>
      </c>
      <c r="Y24" s="548"/>
      <c r="Z24" s="548">
        <f t="shared" si="2"/>
        <v>15</v>
      </c>
      <c r="AA24" s="548"/>
      <c r="AB24" s="548"/>
      <c r="AC24" s="545" t="str">
        <f ca="1">IF(D24="~380В",'Исходник '!$O$2,'Исходник '!$Q$2)</f>
        <v>-</v>
      </c>
      <c r="AD24" s="547"/>
      <c r="AE24" s="548">
        <f t="shared" si="3"/>
        <v>30</v>
      </c>
      <c r="AF24" s="548"/>
      <c r="AG24" s="548"/>
      <c r="AH24" s="548" t="str">
        <f ca="1">IF(D24="~380В",'Исходник '!$O$1,'Исходник '!$Q$1)</f>
        <v>+</v>
      </c>
      <c r="AI24" s="548"/>
      <c r="AJ24" s="548">
        <v>0.3</v>
      </c>
      <c r="AK24" s="548"/>
      <c r="AL24" s="548"/>
      <c r="AM24" s="548">
        <v>1.4000000000000002E-2</v>
      </c>
      <c r="AN24" s="548"/>
      <c r="AO24" s="548"/>
      <c r="AP24" s="338">
        <v>16</v>
      </c>
      <c r="AQ24" s="224" t="str">
        <f t="shared" si="4"/>
        <v>-</v>
      </c>
    </row>
    <row r="25" spans="1:43" s="7" customFormat="1" ht="21.95" customHeight="1">
      <c r="A25" s="611">
        <v>4</v>
      </c>
      <c r="B25" s="611"/>
      <c r="C25" s="163" t="s">
        <v>943</v>
      </c>
      <c r="D25" s="429" t="s">
        <v>58</v>
      </c>
      <c r="E25" s="545" t="s">
        <v>883</v>
      </c>
      <c r="F25" s="459" t="s">
        <v>883</v>
      </c>
      <c r="G25" s="459" t="s">
        <v>883</v>
      </c>
      <c r="H25" s="458" t="s">
        <v>883</v>
      </c>
      <c r="I25" s="548" t="s">
        <v>589</v>
      </c>
      <c r="J25" s="548"/>
      <c r="K25" s="548"/>
      <c r="L25" s="545">
        <f t="shared" si="0"/>
        <v>16</v>
      </c>
      <c r="M25" s="546"/>
      <c r="N25" s="547"/>
      <c r="O25" s="548" t="s">
        <v>59</v>
      </c>
      <c r="P25" s="548"/>
      <c r="Q25" s="548"/>
      <c r="R25" s="548">
        <f t="shared" si="1"/>
        <v>15</v>
      </c>
      <c r="S25" s="548"/>
      <c r="T25" s="548"/>
      <c r="U25" s="548">
        <v>30</v>
      </c>
      <c r="V25" s="548"/>
      <c r="W25" s="548"/>
      <c r="X25" s="548" t="s">
        <v>452</v>
      </c>
      <c r="Y25" s="548"/>
      <c r="Z25" s="548">
        <f t="shared" si="2"/>
        <v>15</v>
      </c>
      <c r="AA25" s="548"/>
      <c r="AB25" s="548"/>
      <c r="AC25" s="545" t="str">
        <f ca="1">IF(D25="~380В",'Исходник '!$O$2,'Исходник '!$Q$2)</f>
        <v>-</v>
      </c>
      <c r="AD25" s="547"/>
      <c r="AE25" s="548">
        <f t="shared" si="3"/>
        <v>30</v>
      </c>
      <c r="AF25" s="548"/>
      <c r="AG25" s="548"/>
      <c r="AH25" s="548" t="str">
        <f ca="1">IF(D25="~380В",'Исходник '!$O$1,'Исходник '!$Q$1)</f>
        <v>+</v>
      </c>
      <c r="AI25" s="548"/>
      <c r="AJ25" s="548">
        <v>0.3</v>
      </c>
      <c r="AK25" s="548"/>
      <c r="AL25" s="548"/>
      <c r="AM25" s="548">
        <v>1.6E-2</v>
      </c>
      <c r="AN25" s="548"/>
      <c r="AO25" s="548"/>
      <c r="AP25" s="338">
        <v>16</v>
      </c>
      <c r="AQ25" s="224" t="str">
        <f t="shared" si="4"/>
        <v>-</v>
      </c>
    </row>
    <row r="26" spans="1:43" s="7" customFormat="1" ht="21.95" customHeight="1">
      <c r="A26" s="611">
        <v>5</v>
      </c>
      <c r="B26" s="611"/>
      <c r="C26" s="163" t="s">
        <v>943</v>
      </c>
      <c r="D26" s="429" t="s">
        <v>58</v>
      </c>
      <c r="E26" s="545" t="s">
        <v>884</v>
      </c>
      <c r="F26" s="459" t="s">
        <v>884</v>
      </c>
      <c r="G26" s="459" t="s">
        <v>884</v>
      </c>
      <c r="H26" s="458" t="s">
        <v>884</v>
      </c>
      <c r="I26" s="548" t="s">
        <v>589</v>
      </c>
      <c r="J26" s="548"/>
      <c r="K26" s="548"/>
      <c r="L26" s="545">
        <f t="shared" si="0"/>
        <v>16</v>
      </c>
      <c r="M26" s="546"/>
      <c r="N26" s="547"/>
      <c r="O26" s="548" t="s">
        <v>59</v>
      </c>
      <c r="P26" s="548"/>
      <c r="Q26" s="548"/>
      <c r="R26" s="548">
        <f t="shared" si="1"/>
        <v>15</v>
      </c>
      <c r="S26" s="548"/>
      <c r="T26" s="548"/>
      <c r="U26" s="548">
        <v>30</v>
      </c>
      <c r="V26" s="548"/>
      <c r="W26" s="548"/>
      <c r="X26" s="548" t="s">
        <v>452</v>
      </c>
      <c r="Y26" s="548"/>
      <c r="Z26" s="548">
        <f t="shared" si="2"/>
        <v>15</v>
      </c>
      <c r="AA26" s="548"/>
      <c r="AB26" s="548"/>
      <c r="AC26" s="545" t="str">
        <f ca="1">IF(D26="~380В",'Исходник '!$O$2,'Исходник '!$Q$2)</f>
        <v>-</v>
      </c>
      <c r="AD26" s="547"/>
      <c r="AE26" s="548">
        <f t="shared" si="3"/>
        <v>30</v>
      </c>
      <c r="AF26" s="548"/>
      <c r="AG26" s="548"/>
      <c r="AH26" s="548" t="str">
        <f ca="1">IF(D26="~380В",'Исходник '!$O$1,'Исходник '!$Q$1)</f>
        <v>+</v>
      </c>
      <c r="AI26" s="548"/>
      <c r="AJ26" s="548">
        <v>0.3</v>
      </c>
      <c r="AK26" s="548"/>
      <c r="AL26" s="548"/>
      <c r="AM26" s="548">
        <v>1.3000000000000001E-2</v>
      </c>
      <c r="AN26" s="548"/>
      <c r="AO26" s="548"/>
      <c r="AP26" s="338">
        <v>16</v>
      </c>
      <c r="AQ26" s="224" t="str">
        <f t="shared" si="4"/>
        <v>-</v>
      </c>
    </row>
    <row r="27" spans="1:43" s="7" customFormat="1" ht="21.95" customHeight="1">
      <c r="A27" s="611">
        <v>6</v>
      </c>
      <c r="B27" s="611"/>
      <c r="C27" s="163" t="s">
        <v>943</v>
      </c>
      <c r="D27" s="429" t="s">
        <v>58</v>
      </c>
      <c r="E27" s="545" t="s">
        <v>885</v>
      </c>
      <c r="F27" s="459" t="s">
        <v>885</v>
      </c>
      <c r="G27" s="459" t="s">
        <v>885</v>
      </c>
      <c r="H27" s="458" t="s">
        <v>885</v>
      </c>
      <c r="I27" s="548" t="s">
        <v>589</v>
      </c>
      <c r="J27" s="548"/>
      <c r="K27" s="548"/>
      <c r="L27" s="545">
        <f t="shared" si="0"/>
        <v>16</v>
      </c>
      <c r="M27" s="546"/>
      <c r="N27" s="547"/>
      <c r="O27" s="548" t="s">
        <v>59</v>
      </c>
      <c r="P27" s="548"/>
      <c r="Q27" s="548"/>
      <c r="R27" s="548">
        <f t="shared" si="1"/>
        <v>15</v>
      </c>
      <c r="S27" s="548"/>
      <c r="T27" s="548"/>
      <c r="U27" s="548">
        <v>30</v>
      </c>
      <c r="V27" s="548"/>
      <c r="W27" s="548"/>
      <c r="X27" s="548" t="s">
        <v>452</v>
      </c>
      <c r="Y27" s="548"/>
      <c r="Z27" s="548">
        <f t="shared" si="2"/>
        <v>15</v>
      </c>
      <c r="AA27" s="548"/>
      <c r="AB27" s="548"/>
      <c r="AC27" s="545" t="str">
        <f ca="1">IF(D27="~380В",'Исходник '!$O$2,'Исходник '!$Q$2)</f>
        <v>-</v>
      </c>
      <c r="AD27" s="547"/>
      <c r="AE27" s="548">
        <f t="shared" si="3"/>
        <v>30</v>
      </c>
      <c r="AF27" s="548"/>
      <c r="AG27" s="548"/>
      <c r="AH27" s="548" t="str">
        <f ca="1">IF(D27="~380В",'Исходник '!$O$1,'Исходник '!$Q$1)</f>
        <v>+</v>
      </c>
      <c r="AI27" s="548"/>
      <c r="AJ27" s="548">
        <v>0.3</v>
      </c>
      <c r="AK27" s="548"/>
      <c r="AL27" s="548"/>
      <c r="AM27" s="548">
        <v>1.4000000000000002E-2</v>
      </c>
      <c r="AN27" s="548"/>
      <c r="AO27" s="548"/>
      <c r="AP27" s="338">
        <v>16</v>
      </c>
      <c r="AQ27" s="224" t="str">
        <f t="shared" si="4"/>
        <v>-</v>
      </c>
    </row>
    <row r="28" spans="1:43" s="7" customFormat="1" ht="21.95" customHeight="1">
      <c r="A28" s="611">
        <v>7</v>
      </c>
      <c r="B28" s="611"/>
      <c r="C28" s="163" t="s">
        <v>943</v>
      </c>
      <c r="D28" s="429" t="s">
        <v>58</v>
      </c>
      <c r="E28" s="545" t="s">
        <v>886</v>
      </c>
      <c r="F28" s="459" t="s">
        <v>886</v>
      </c>
      <c r="G28" s="459" t="s">
        <v>886</v>
      </c>
      <c r="H28" s="458" t="s">
        <v>886</v>
      </c>
      <c r="I28" s="548" t="s">
        <v>589</v>
      </c>
      <c r="J28" s="548"/>
      <c r="K28" s="548"/>
      <c r="L28" s="545">
        <f t="shared" si="0"/>
        <v>16</v>
      </c>
      <c r="M28" s="546"/>
      <c r="N28" s="547"/>
      <c r="O28" s="548" t="s">
        <v>59</v>
      </c>
      <c r="P28" s="548"/>
      <c r="Q28" s="548"/>
      <c r="R28" s="548">
        <f t="shared" si="1"/>
        <v>15</v>
      </c>
      <c r="S28" s="548"/>
      <c r="T28" s="548"/>
      <c r="U28" s="548">
        <v>30</v>
      </c>
      <c r="V28" s="548"/>
      <c r="W28" s="548"/>
      <c r="X28" s="548" t="s">
        <v>452</v>
      </c>
      <c r="Y28" s="548"/>
      <c r="Z28" s="548">
        <f t="shared" si="2"/>
        <v>15</v>
      </c>
      <c r="AA28" s="548"/>
      <c r="AB28" s="548"/>
      <c r="AC28" s="545" t="str">
        <f ca="1">IF(D28="~380В",'Исходник '!$O$2,'Исходник '!$Q$2)</f>
        <v>-</v>
      </c>
      <c r="AD28" s="547"/>
      <c r="AE28" s="548">
        <f t="shared" si="3"/>
        <v>30</v>
      </c>
      <c r="AF28" s="548"/>
      <c r="AG28" s="548"/>
      <c r="AH28" s="548" t="str">
        <f ca="1">IF(D28="~380В",'Исходник '!$O$1,'Исходник '!$Q$1)</f>
        <v>+</v>
      </c>
      <c r="AI28" s="548"/>
      <c r="AJ28" s="548">
        <v>0.3</v>
      </c>
      <c r="AK28" s="548"/>
      <c r="AL28" s="548"/>
      <c r="AM28" s="548">
        <v>1.4999999999999999E-2</v>
      </c>
      <c r="AN28" s="548"/>
      <c r="AO28" s="548"/>
      <c r="AP28" s="338">
        <v>16</v>
      </c>
      <c r="AQ28" s="224" t="str">
        <f t="shared" si="4"/>
        <v>-</v>
      </c>
    </row>
    <row r="29" spans="1:43" s="7" customFormat="1" ht="21.95" customHeight="1">
      <c r="A29" s="73" t="str">
        <f ca="1">'Протокол №505-4'!A37</f>
        <v>пом. №214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104"/>
      <c r="AQ29" s="349"/>
    </row>
    <row r="30" spans="1:43" s="7" customFormat="1" ht="21.95" customHeight="1">
      <c r="A30" s="73" t="str">
        <f ca="1">'Протокол №505-4'!A38</f>
        <v>ЩС-2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5"/>
      <c r="AP30" s="104"/>
      <c r="AQ30" s="349"/>
    </row>
    <row r="31" spans="1:43" s="7" customFormat="1" ht="21.95" customHeight="1">
      <c r="A31" s="611">
        <v>8</v>
      </c>
      <c r="B31" s="611"/>
      <c r="C31" s="163" t="s">
        <v>943</v>
      </c>
      <c r="D31" s="429" t="s">
        <v>58</v>
      </c>
      <c r="E31" s="545" t="s">
        <v>878</v>
      </c>
      <c r="F31" s="459" t="s">
        <v>878</v>
      </c>
      <c r="G31" s="459" t="s">
        <v>878</v>
      </c>
      <c r="H31" s="458" t="s">
        <v>878</v>
      </c>
      <c r="I31" s="548" t="s">
        <v>589</v>
      </c>
      <c r="J31" s="548"/>
      <c r="K31" s="548"/>
      <c r="L31" s="545">
        <f>AP31</f>
        <v>16</v>
      </c>
      <c r="M31" s="546"/>
      <c r="N31" s="547"/>
      <c r="O31" s="548" t="s">
        <v>59</v>
      </c>
      <c r="P31" s="548"/>
      <c r="Q31" s="548"/>
      <c r="R31" s="548">
        <f>U31/2</f>
        <v>15</v>
      </c>
      <c r="S31" s="548"/>
      <c r="T31" s="548"/>
      <c r="U31" s="548">
        <v>30</v>
      </c>
      <c r="V31" s="548"/>
      <c r="W31" s="548"/>
      <c r="X31" s="548" t="s">
        <v>452</v>
      </c>
      <c r="Y31" s="548"/>
      <c r="Z31" s="548">
        <f>R31</f>
        <v>15</v>
      </c>
      <c r="AA31" s="548"/>
      <c r="AB31" s="548"/>
      <c r="AC31" s="545" t="str">
        <f ca="1">IF(D31="~380В",'Исходник '!$O$2,'Исходник '!$Q$2)</f>
        <v>-</v>
      </c>
      <c r="AD31" s="547"/>
      <c r="AE31" s="548">
        <f>U31</f>
        <v>30</v>
      </c>
      <c r="AF31" s="548"/>
      <c r="AG31" s="548"/>
      <c r="AH31" s="548" t="str">
        <f ca="1">IF(D31="~380В",'Исходник '!$O$1,'Исходник '!$Q$1)</f>
        <v>+</v>
      </c>
      <c r="AI31" s="548"/>
      <c r="AJ31" s="548">
        <v>0.3</v>
      </c>
      <c r="AK31" s="548"/>
      <c r="AL31" s="548"/>
      <c r="AM31" s="548">
        <v>1.4000000000000002E-2</v>
      </c>
      <c r="AN31" s="548"/>
      <c r="AO31" s="548"/>
      <c r="AP31" s="338">
        <v>16</v>
      </c>
      <c r="AQ31" s="224" t="str">
        <f>IF(D31="~380В","раздвинь строчку","-")</f>
        <v>-</v>
      </c>
    </row>
    <row r="32" spans="1:43" s="7" customFormat="1" ht="21.95" customHeight="1">
      <c r="A32" s="611">
        <v>9</v>
      </c>
      <c r="B32" s="611"/>
      <c r="C32" s="163" t="s">
        <v>943</v>
      </c>
      <c r="D32" s="429" t="s">
        <v>58</v>
      </c>
      <c r="E32" s="545" t="s">
        <v>881</v>
      </c>
      <c r="F32" s="459" t="s">
        <v>881</v>
      </c>
      <c r="G32" s="459" t="s">
        <v>881</v>
      </c>
      <c r="H32" s="458" t="s">
        <v>881</v>
      </c>
      <c r="I32" s="548" t="s">
        <v>589</v>
      </c>
      <c r="J32" s="548"/>
      <c r="K32" s="548"/>
      <c r="L32" s="545">
        <f>AP32</f>
        <v>16</v>
      </c>
      <c r="M32" s="546"/>
      <c r="N32" s="547"/>
      <c r="O32" s="548" t="s">
        <v>59</v>
      </c>
      <c r="P32" s="548"/>
      <c r="Q32" s="548"/>
      <c r="R32" s="548">
        <f>U32/2</f>
        <v>15</v>
      </c>
      <c r="S32" s="548"/>
      <c r="T32" s="548"/>
      <c r="U32" s="548">
        <v>30</v>
      </c>
      <c r="V32" s="548"/>
      <c r="W32" s="548"/>
      <c r="X32" s="548" t="s">
        <v>452</v>
      </c>
      <c r="Y32" s="548"/>
      <c r="Z32" s="548">
        <f>R32</f>
        <v>15</v>
      </c>
      <c r="AA32" s="548"/>
      <c r="AB32" s="548"/>
      <c r="AC32" s="545" t="str">
        <f ca="1">IF(D32="~380В",'Исходник '!$O$2,'Исходник '!$Q$2)</f>
        <v>-</v>
      </c>
      <c r="AD32" s="547"/>
      <c r="AE32" s="548">
        <f>U32</f>
        <v>30</v>
      </c>
      <c r="AF32" s="548"/>
      <c r="AG32" s="548"/>
      <c r="AH32" s="548" t="str">
        <f ca="1">IF(D32="~380В",'Исходник '!$O$1,'Исходник '!$Q$1)</f>
        <v>+</v>
      </c>
      <c r="AI32" s="548"/>
      <c r="AJ32" s="548">
        <v>0.3</v>
      </c>
      <c r="AK32" s="548"/>
      <c r="AL32" s="548"/>
      <c r="AM32" s="548">
        <v>1.3000000000000001E-2</v>
      </c>
      <c r="AN32" s="548"/>
      <c r="AO32" s="548"/>
      <c r="AP32" s="338">
        <v>16</v>
      </c>
      <c r="AQ32" s="224" t="str">
        <f>IF(D32="~380В","раздвинь строчку","-")</f>
        <v>-</v>
      </c>
    </row>
    <row r="33" spans="1:43" s="7" customFormat="1" ht="21.95" customHeight="1">
      <c r="A33" s="73" t="str">
        <f ca="1">'Протокол №505-4'!A55</f>
        <v>пом. №101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5"/>
      <c r="AP33" s="104"/>
      <c r="AQ33" s="349"/>
    </row>
    <row r="34" spans="1:43" s="7" customFormat="1" ht="21.95" customHeight="1">
      <c r="A34" s="73" t="str">
        <f ca="1">'Протокол №505-4'!A77</f>
        <v>ЩС-3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  <c r="AP34" s="104"/>
      <c r="AQ34" s="349"/>
    </row>
    <row r="35" spans="1:43" s="7" customFormat="1" ht="21.95" customHeight="1">
      <c r="A35" s="611">
        <v>10</v>
      </c>
      <c r="B35" s="611"/>
      <c r="C35" s="183" t="s">
        <v>60</v>
      </c>
      <c r="D35" s="429" t="s">
        <v>58</v>
      </c>
      <c r="E35" s="545" t="s">
        <v>878</v>
      </c>
      <c r="F35" s="459" t="s">
        <v>878</v>
      </c>
      <c r="G35" s="459" t="s">
        <v>878</v>
      </c>
      <c r="H35" s="458" t="s">
        <v>878</v>
      </c>
      <c r="I35" s="548" t="s">
        <v>589</v>
      </c>
      <c r="J35" s="548"/>
      <c r="K35" s="548"/>
      <c r="L35" s="545">
        <f t="shared" ref="L35:L46" si="5">AP35</f>
        <v>16</v>
      </c>
      <c r="M35" s="546"/>
      <c r="N35" s="547"/>
      <c r="O35" s="548" t="s">
        <v>59</v>
      </c>
      <c r="P35" s="548"/>
      <c r="Q35" s="548"/>
      <c r="R35" s="548">
        <f t="shared" ref="R35:R46" si="6">U35/2</f>
        <v>15</v>
      </c>
      <c r="S35" s="548"/>
      <c r="T35" s="548"/>
      <c r="U35" s="548">
        <v>30</v>
      </c>
      <c r="V35" s="548"/>
      <c r="W35" s="548"/>
      <c r="X35" s="548" t="s">
        <v>452</v>
      </c>
      <c r="Y35" s="548"/>
      <c r="Z35" s="548">
        <f t="shared" ref="Z35:Z46" si="7">R35</f>
        <v>15</v>
      </c>
      <c r="AA35" s="548"/>
      <c r="AB35" s="548"/>
      <c r="AC35" s="545" t="str">
        <f ca="1">IF(D35="~380В",'Исходник '!$O$2,'Исходник '!$Q$2)</f>
        <v>-</v>
      </c>
      <c r="AD35" s="547"/>
      <c r="AE35" s="548">
        <f t="shared" ref="AE35:AE46" si="8">U35</f>
        <v>30</v>
      </c>
      <c r="AF35" s="548"/>
      <c r="AG35" s="548"/>
      <c r="AH35" s="548" t="str">
        <f ca="1">IF(D35="~380В",'Исходник '!$O$1,'Исходник '!$Q$1)</f>
        <v>+</v>
      </c>
      <c r="AI35" s="548"/>
      <c r="AJ35" s="548">
        <v>0.3</v>
      </c>
      <c r="AK35" s="548"/>
      <c r="AL35" s="548"/>
      <c r="AM35" s="548">
        <v>1.6E-2</v>
      </c>
      <c r="AN35" s="548"/>
      <c r="AO35" s="548"/>
      <c r="AP35" s="338">
        <v>16</v>
      </c>
      <c r="AQ35" s="224" t="str">
        <f t="shared" ref="AQ35:AQ46" si="9">IF(D35="~380В","раздвинь строчку","-")</f>
        <v>-</v>
      </c>
    </row>
    <row r="36" spans="1:43" s="7" customFormat="1" ht="21.95" customHeight="1">
      <c r="A36" s="611">
        <v>11</v>
      </c>
      <c r="B36" s="611"/>
      <c r="C36" s="183" t="s">
        <v>60</v>
      </c>
      <c r="D36" s="429" t="s">
        <v>58</v>
      </c>
      <c r="E36" s="545" t="s">
        <v>881</v>
      </c>
      <c r="F36" s="459" t="s">
        <v>881</v>
      </c>
      <c r="G36" s="459" t="s">
        <v>881</v>
      </c>
      <c r="H36" s="458" t="s">
        <v>881</v>
      </c>
      <c r="I36" s="548" t="s">
        <v>589</v>
      </c>
      <c r="J36" s="548"/>
      <c r="K36" s="548"/>
      <c r="L36" s="545">
        <f t="shared" si="5"/>
        <v>16</v>
      </c>
      <c r="M36" s="546"/>
      <c r="N36" s="547"/>
      <c r="O36" s="548" t="s">
        <v>59</v>
      </c>
      <c r="P36" s="548"/>
      <c r="Q36" s="548"/>
      <c r="R36" s="548">
        <f t="shared" si="6"/>
        <v>15</v>
      </c>
      <c r="S36" s="548"/>
      <c r="T36" s="548"/>
      <c r="U36" s="548">
        <v>30</v>
      </c>
      <c r="V36" s="548"/>
      <c r="W36" s="548"/>
      <c r="X36" s="548" t="s">
        <v>452</v>
      </c>
      <c r="Y36" s="548"/>
      <c r="Z36" s="548">
        <f t="shared" si="7"/>
        <v>15</v>
      </c>
      <c r="AA36" s="548"/>
      <c r="AB36" s="548"/>
      <c r="AC36" s="545" t="str">
        <f ca="1">IF(D36="~380В",'Исходник '!$O$2,'Исходник '!$Q$2)</f>
        <v>-</v>
      </c>
      <c r="AD36" s="547"/>
      <c r="AE36" s="548">
        <f t="shared" si="8"/>
        <v>30</v>
      </c>
      <c r="AF36" s="548"/>
      <c r="AG36" s="548"/>
      <c r="AH36" s="548" t="str">
        <f ca="1">IF(D36="~380В",'Исходник '!$O$1,'Исходник '!$Q$1)</f>
        <v>+</v>
      </c>
      <c r="AI36" s="548"/>
      <c r="AJ36" s="548">
        <v>0.3</v>
      </c>
      <c r="AK36" s="548"/>
      <c r="AL36" s="548"/>
      <c r="AM36" s="548">
        <v>1.3000000000000001E-2</v>
      </c>
      <c r="AN36" s="548"/>
      <c r="AO36" s="548"/>
      <c r="AP36" s="338">
        <v>16</v>
      </c>
      <c r="AQ36" s="224" t="str">
        <f t="shared" si="9"/>
        <v>-</v>
      </c>
    </row>
    <row r="37" spans="1:43" s="7" customFormat="1" ht="21.95" customHeight="1">
      <c r="A37" s="611">
        <v>12</v>
      </c>
      <c r="B37" s="611"/>
      <c r="C37" s="183" t="s">
        <v>60</v>
      </c>
      <c r="D37" s="429" t="s">
        <v>58</v>
      </c>
      <c r="E37" s="545" t="s">
        <v>882</v>
      </c>
      <c r="F37" s="459" t="s">
        <v>882</v>
      </c>
      <c r="G37" s="459" t="s">
        <v>882</v>
      </c>
      <c r="H37" s="458" t="s">
        <v>882</v>
      </c>
      <c r="I37" s="548" t="s">
        <v>589</v>
      </c>
      <c r="J37" s="548"/>
      <c r="K37" s="548"/>
      <c r="L37" s="545">
        <f t="shared" si="5"/>
        <v>16</v>
      </c>
      <c r="M37" s="546"/>
      <c r="N37" s="547"/>
      <c r="O37" s="548" t="s">
        <v>59</v>
      </c>
      <c r="P37" s="548"/>
      <c r="Q37" s="548"/>
      <c r="R37" s="548">
        <f t="shared" si="6"/>
        <v>15</v>
      </c>
      <c r="S37" s="548"/>
      <c r="T37" s="548"/>
      <c r="U37" s="548">
        <v>30</v>
      </c>
      <c r="V37" s="548"/>
      <c r="W37" s="548"/>
      <c r="X37" s="548" t="s">
        <v>452</v>
      </c>
      <c r="Y37" s="548"/>
      <c r="Z37" s="548">
        <f t="shared" si="7"/>
        <v>15</v>
      </c>
      <c r="AA37" s="548"/>
      <c r="AB37" s="548"/>
      <c r="AC37" s="545" t="str">
        <f ca="1">IF(D37="~380В",'Исходник '!$O$2,'Исходник '!$Q$2)</f>
        <v>-</v>
      </c>
      <c r="AD37" s="547"/>
      <c r="AE37" s="548">
        <f t="shared" si="8"/>
        <v>30</v>
      </c>
      <c r="AF37" s="548"/>
      <c r="AG37" s="548"/>
      <c r="AH37" s="548" t="str">
        <f ca="1">IF(D37="~380В",'Исходник '!$O$1,'Исходник '!$Q$1)</f>
        <v>+</v>
      </c>
      <c r="AI37" s="548"/>
      <c r="AJ37" s="548">
        <v>0.3</v>
      </c>
      <c r="AK37" s="548"/>
      <c r="AL37" s="548"/>
      <c r="AM37" s="548">
        <v>1.4000000000000002E-2</v>
      </c>
      <c r="AN37" s="548"/>
      <c r="AO37" s="548"/>
      <c r="AP37" s="338">
        <v>16</v>
      </c>
      <c r="AQ37" s="224" t="str">
        <f t="shared" si="9"/>
        <v>-</v>
      </c>
    </row>
    <row r="38" spans="1:43" s="7" customFormat="1" ht="21.95" customHeight="1">
      <c r="A38" s="611">
        <v>13</v>
      </c>
      <c r="B38" s="611"/>
      <c r="C38" s="183" t="s">
        <v>60</v>
      </c>
      <c r="D38" s="429" t="s">
        <v>58</v>
      </c>
      <c r="E38" s="545" t="s">
        <v>883</v>
      </c>
      <c r="F38" s="459" t="s">
        <v>883</v>
      </c>
      <c r="G38" s="459" t="s">
        <v>883</v>
      </c>
      <c r="H38" s="458" t="s">
        <v>883</v>
      </c>
      <c r="I38" s="548" t="s">
        <v>589</v>
      </c>
      <c r="J38" s="548"/>
      <c r="K38" s="548"/>
      <c r="L38" s="545">
        <f t="shared" si="5"/>
        <v>16</v>
      </c>
      <c r="M38" s="546"/>
      <c r="N38" s="547"/>
      <c r="O38" s="548" t="s">
        <v>59</v>
      </c>
      <c r="P38" s="548"/>
      <c r="Q38" s="548"/>
      <c r="R38" s="548">
        <f t="shared" si="6"/>
        <v>15</v>
      </c>
      <c r="S38" s="548"/>
      <c r="T38" s="548"/>
      <c r="U38" s="548">
        <v>30</v>
      </c>
      <c r="V38" s="548"/>
      <c r="W38" s="548"/>
      <c r="X38" s="548" t="s">
        <v>452</v>
      </c>
      <c r="Y38" s="548"/>
      <c r="Z38" s="548">
        <f t="shared" si="7"/>
        <v>15</v>
      </c>
      <c r="AA38" s="548"/>
      <c r="AB38" s="548"/>
      <c r="AC38" s="545" t="str">
        <f ca="1">IF(D38="~380В",'Исходник '!$O$2,'Исходник '!$Q$2)</f>
        <v>-</v>
      </c>
      <c r="AD38" s="547"/>
      <c r="AE38" s="548">
        <f t="shared" si="8"/>
        <v>30</v>
      </c>
      <c r="AF38" s="548"/>
      <c r="AG38" s="548"/>
      <c r="AH38" s="548" t="str">
        <f ca="1">IF(D38="~380В",'Исходник '!$O$1,'Исходник '!$Q$1)</f>
        <v>+</v>
      </c>
      <c r="AI38" s="548"/>
      <c r="AJ38" s="548">
        <v>0.3</v>
      </c>
      <c r="AK38" s="548"/>
      <c r="AL38" s="548"/>
      <c r="AM38" s="548">
        <v>1.3000000000000001E-2</v>
      </c>
      <c r="AN38" s="548"/>
      <c r="AO38" s="548"/>
      <c r="AP38" s="338">
        <v>16</v>
      </c>
      <c r="AQ38" s="224" t="str">
        <f t="shared" si="9"/>
        <v>-</v>
      </c>
    </row>
    <row r="39" spans="1:43" s="7" customFormat="1" ht="21.95" customHeight="1">
      <c r="A39" s="611">
        <v>14</v>
      </c>
      <c r="B39" s="611"/>
      <c r="C39" s="183" t="s">
        <v>60</v>
      </c>
      <c r="D39" s="429" t="s">
        <v>58</v>
      </c>
      <c r="E39" s="545" t="s">
        <v>884</v>
      </c>
      <c r="F39" s="459" t="s">
        <v>884</v>
      </c>
      <c r="G39" s="459" t="s">
        <v>884</v>
      </c>
      <c r="H39" s="458" t="s">
        <v>884</v>
      </c>
      <c r="I39" s="548" t="s">
        <v>589</v>
      </c>
      <c r="J39" s="548"/>
      <c r="K39" s="548"/>
      <c r="L39" s="545">
        <f t="shared" si="5"/>
        <v>16</v>
      </c>
      <c r="M39" s="546"/>
      <c r="N39" s="547"/>
      <c r="O39" s="548" t="s">
        <v>59</v>
      </c>
      <c r="P39" s="548"/>
      <c r="Q39" s="548"/>
      <c r="R39" s="548">
        <f t="shared" si="6"/>
        <v>15</v>
      </c>
      <c r="S39" s="548"/>
      <c r="T39" s="548"/>
      <c r="U39" s="548">
        <v>30</v>
      </c>
      <c r="V39" s="548"/>
      <c r="W39" s="548"/>
      <c r="X39" s="548" t="s">
        <v>452</v>
      </c>
      <c r="Y39" s="548"/>
      <c r="Z39" s="548">
        <f t="shared" si="7"/>
        <v>15</v>
      </c>
      <c r="AA39" s="548"/>
      <c r="AB39" s="548"/>
      <c r="AC39" s="545" t="str">
        <f ca="1">IF(D39="~380В",'Исходник '!$O$2,'Исходник '!$Q$2)</f>
        <v>-</v>
      </c>
      <c r="AD39" s="547"/>
      <c r="AE39" s="548">
        <f t="shared" si="8"/>
        <v>30</v>
      </c>
      <c r="AF39" s="548"/>
      <c r="AG39" s="548"/>
      <c r="AH39" s="548" t="str">
        <f ca="1">IF(D39="~380В",'Исходник '!$O$1,'Исходник '!$Q$1)</f>
        <v>+</v>
      </c>
      <c r="AI39" s="548"/>
      <c r="AJ39" s="548">
        <v>0.3</v>
      </c>
      <c r="AK39" s="548"/>
      <c r="AL39" s="548"/>
      <c r="AM39" s="548">
        <v>1.4999999999999999E-2</v>
      </c>
      <c r="AN39" s="548"/>
      <c r="AO39" s="548"/>
      <c r="AP39" s="338">
        <v>16</v>
      </c>
      <c r="AQ39" s="224" t="str">
        <f t="shared" si="9"/>
        <v>-</v>
      </c>
    </row>
    <row r="40" spans="1:43" s="7" customFormat="1" ht="21.95" customHeight="1">
      <c r="A40" s="611">
        <v>15</v>
      </c>
      <c r="B40" s="611"/>
      <c r="C40" s="183" t="s">
        <v>60</v>
      </c>
      <c r="D40" s="429" t="s">
        <v>58</v>
      </c>
      <c r="E40" s="545" t="s">
        <v>885</v>
      </c>
      <c r="F40" s="459" t="s">
        <v>885</v>
      </c>
      <c r="G40" s="459" t="s">
        <v>885</v>
      </c>
      <c r="H40" s="458" t="s">
        <v>885</v>
      </c>
      <c r="I40" s="548" t="s">
        <v>589</v>
      </c>
      <c r="J40" s="548"/>
      <c r="K40" s="548"/>
      <c r="L40" s="545">
        <f t="shared" si="5"/>
        <v>16</v>
      </c>
      <c r="M40" s="546"/>
      <c r="N40" s="547"/>
      <c r="O40" s="548" t="s">
        <v>59</v>
      </c>
      <c r="P40" s="548"/>
      <c r="Q40" s="548"/>
      <c r="R40" s="548">
        <f t="shared" si="6"/>
        <v>15</v>
      </c>
      <c r="S40" s="548"/>
      <c r="T40" s="548"/>
      <c r="U40" s="548">
        <v>30</v>
      </c>
      <c r="V40" s="548"/>
      <c r="W40" s="548"/>
      <c r="X40" s="548" t="s">
        <v>452</v>
      </c>
      <c r="Y40" s="548"/>
      <c r="Z40" s="548">
        <f t="shared" si="7"/>
        <v>15</v>
      </c>
      <c r="AA40" s="548"/>
      <c r="AB40" s="548"/>
      <c r="AC40" s="545" t="str">
        <f ca="1">IF(D40="~380В",'Исходник '!$O$2,'Исходник '!$Q$2)</f>
        <v>-</v>
      </c>
      <c r="AD40" s="547"/>
      <c r="AE40" s="548">
        <f t="shared" si="8"/>
        <v>30</v>
      </c>
      <c r="AF40" s="548"/>
      <c r="AG40" s="548"/>
      <c r="AH40" s="548" t="str">
        <f ca="1">IF(D40="~380В",'Исходник '!$O$1,'Исходник '!$Q$1)</f>
        <v>+</v>
      </c>
      <c r="AI40" s="548"/>
      <c r="AJ40" s="548">
        <v>0.3</v>
      </c>
      <c r="AK40" s="548"/>
      <c r="AL40" s="548"/>
      <c r="AM40" s="548">
        <v>1.6E-2</v>
      </c>
      <c r="AN40" s="548"/>
      <c r="AO40" s="548"/>
      <c r="AP40" s="338">
        <v>16</v>
      </c>
      <c r="AQ40" s="224" t="str">
        <f t="shared" si="9"/>
        <v>-</v>
      </c>
    </row>
    <row r="41" spans="1:43" s="7" customFormat="1" ht="21.95" customHeight="1">
      <c r="A41" s="611">
        <v>16</v>
      </c>
      <c r="B41" s="611"/>
      <c r="C41" s="183" t="s">
        <v>60</v>
      </c>
      <c r="D41" s="429" t="s">
        <v>58</v>
      </c>
      <c r="E41" s="545" t="s">
        <v>886</v>
      </c>
      <c r="F41" s="459" t="s">
        <v>886</v>
      </c>
      <c r="G41" s="459" t="s">
        <v>886</v>
      </c>
      <c r="H41" s="458" t="s">
        <v>886</v>
      </c>
      <c r="I41" s="548" t="s">
        <v>589</v>
      </c>
      <c r="J41" s="548"/>
      <c r="K41" s="548"/>
      <c r="L41" s="545">
        <f t="shared" si="5"/>
        <v>16</v>
      </c>
      <c r="M41" s="546"/>
      <c r="N41" s="547"/>
      <c r="O41" s="548" t="s">
        <v>59</v>
      </c>
      <c r="P41" s="548"/>
      <c r="Q41" s="548"/>
      <c r="R41" s="548">
        <f t="shared" si="6"/>
        <v>15</v>
      </c>
      <c r="S41" s="548"/>
      <c r="T41" s="548"/>
      <c r="U41" s="548">
        <v>30</v>
      </c>
      <c r="V41" s="548"/>
      <c r="W41" s="548"/>
      <c r="X41" s="548" t="s">
        <v>452</v>
      </c>
      <c r="Y41" s="548"/>
      <c r="Z41" s="548">
        <f t="shared" si="7"/>
        <v>15</v>
      </c>
      <c r="AA41" s="548"/>
      <c r="AB41" s="548"/>
      <c r="AC41" s="545" t="str">
        <f ca="1">IF(D41="~380В",'Исходник '!$O$2,'Исходник '!$Q$2)</f>
        <v>-</v>
      </c>
      <c r="AD41" s="547"/>
      <c r="AE41" s="548">
        <f t="shared" si="8"/>
        <v>30</v>
      </c>
      <c r="AF41" s="548"/>
      <c r="AG41" s="548"/>
      <c r="AH41" s="548" t="str">
        <f ca="1">IF(D41="~380В",'Исходник '!$O$1,'Исходник '!$Q$1)</f>
        <v>+</v>
      </c>
      <c r="AI41" s="548"/>
      <c r="AJ41" s="548">
        <v>0.3</v>
      </c>
      <c r="AK41" s="548"/>
      <c r="AL41" s="548"/>
      <c r="AM41" s="548">
        <v>1.6E-2</v>
      </c>
      <c r="AN41" s="548"/>
      <c r="AO41" s="548"/>
      <c r="AP41" s="338">
        <v>16</v>
      </c>
      <c r="AQ41" s="224" t="str">
        <f t="shared" si="9"/>
        <v>-</v>
      </c>
    </row>
    <row r="42" spans="1:43" s="7" customFormat="1" ht="21.95" customHeight="1">
      <c r="A42" s="611">
        <v>17</v>
      </c>
      <c r="B42" s="611"/>
      <c r="C42" s="183" t="s">
        <v>60</v>
      </c>
      <c r="D42" s="429" t="s">
        <v>58</v>
      </c>
      <c r="E42" s="545" t="s">
        <v>887</v>
      </c>
      <c r="F42" s="459" t="s">
        <v>887</v>
      </c>
      <c r="G42" s="459" t="s">
        <v>887</v>
      </c>
      <c r="H42" s="458" t="s">
        <v>887</v>
      </c>
      <c r="I42" s="548" t="s">
        <v>589</v>
      </c>
      <c r="J42" s="548"/>
      <c r="K42" s="548"/>
      <c r="L42" s="545">
        <f t="shared" si="5"/>
        <v>16</v>
      </c>
      <c r="M42" s="546"/>
      <c r="N42" s="547"/>
      <c r="O42" s="548" t="s">
        <v>59</v>
      </c>
      <c r="P42" s="548"/>
      <c r="Q42" s="548"/>
      <c r="R42" s="548">
        <f t="shared" si="6"/>
        <v>15</v>
      </c>
      <c r="S42" s="548"/>
      <c r="T42" s="548"/>
      <c r="U42" s="548">
        <v>30</v>
      </c>
      <c r="V42" s="548"/>
      <c r="W42" s="548"/>
      <c r="X42" s="548" t="s">
        <v>452</v>
      </c>
      <c r="Y42" s="548"/>
      <c r="Z42" s="548">
        <f t="shared" si="7"/>
        <v>15</v>
      </c>
      <c r="AA42" s="548"/>
      <c r="AB42" s="548"/>
      <c r="AC42" s="545" t="str">
        <f ca="1">IF(D42="~380В",'Исходник '!$O$2,'Исходник '!$Q$2)</f>
        <v>-</v>
      </c>
      <c r="AD42" s="547"/>
      <c r="AE42" s="548">
        <f t="shared" si="8"/>
        <v>30</v>
      </c>
      <c r="AF42" s="548"/>
      <c r="AG42" s="548"/>
      <c r="AH42" s="548" t="str">
        <f ca="1">IF(D42="~380В",'Исходник '!$O$1,'Исходник '!$Q$1)</f>
        <v>+</v>
      </c>
      <c r="AI42" s="548"/>
      <c r="AJ42" s="548">
        <v>0.3</v>
      </c>
      <c r="AK42" s="548"/>
      <c r="AL42" s="548"/>
      <c r="AM42" s="548">
        <v>1.3000000000000001E-2</v>
      </c>
      <c r="AN42" s="548"/>
      <c r="AO42" s="548"/>
      <c r="AP42" s="338">
        <v>16</v>
      </c>
      <c r="AQ42" s="224" t="str">
        <f t="shared" si="9"/>
        <v>-</v>
      </c>
    </row>
    <row r="43" spans="1:43" s="7" customFormat="1" ht="21.95" customHeight="1">
      <c r="A43" s="611">
        <v>18</v>
      </c>
      <c r="B43" s="611"/>
      <c r="C43" s="183" t="s">
        <v>60</v>
      </c>
      <c r="D43" s="429" t="s">
        <v>58</v>
      </c>
      <c r="E43" s="545" t="s">
        <v>907</v>
      </c>
      <c r="F43" s="459" t="s">
        <v>907</v>
      </c>
      <c r="G43" s="459" t="s">
        <v>907</v>
      </c>
      <c r="H43" s="458" t="s">
        <v>907</v>
      </c>
      <c r="I43" s="548" t="s">
        <v>589</v>
      </c>
      <c r="J43" s="548"/>
      <c r="K43" s="548"/>
      <c r="L43" s="545">
        <f t="shared" si="5"/>
        <v>16</v>
      </c>
      <c r="M43" s="546"/>
      <c r="N43" s="547"/>
      <c r="O43" s="548" t="s">
        <v>59</v>
      </c>
      <c r="P43" s="548"/>
      <c r="Q43" s="548"/>
      <c r="R43" s="548">
        <f t="shared" si="6"/>
        <v>15</v>
      </c>
      <c r="S43" s="548"/>
      <c r="T43" s="548"/>
      <c r="U43" s="548">
        <v>30</v>
      </c>
      <c r="V43" s="548"/>
      <c r="W43" s="548"/>
      <c r="X43" s="548" t="s">
        <v>452</v>
      </c>
      <c r="Y43" s="548"/>
      <c r="Z43" s="548">
        <f t="shared" si="7"/>
        <v>15</v>
      </c>
      <c r="AA43" s="548"/>
      <c r="AB43" s="548"/>
      <c r="AC43" s="545" t="str">
        <f ca="1">IF(D43="~380В",'Исходник '!$O$2,'Исходник '!$Q$2)</f>
        <v>-</v>
      </c>
      <c r="AD43" s="547"/>
      <c r="AE43" s="548">
        <f t="shared" si="8"/>
        <v>30</v>
      </c>
      <c r="AF43" s="548"/>
      <c r="AG43" s="548"/>
      <c r="AH43" s="548" t="str">
        <f ca="1">IF(D43="~380В",'Исходник '!$O$1,'Исходник '!$Q$1)</f>
        <v>+</v>
      </c>
      <c r="AI43" s="548"/>
      <c r="AJ43" s="548">
        <v>0.3</v>
      </c>
      <c r="AK43" s="548"/>
      <c r="AL43" s="548"/>
      <c r="AM43" s="548">
        <v>1.4000000000000002E-2</v>
      </c>
      <c r="AN43" s="548"/>
      <c r="AO43" s="548"/>
      <c r="AP43" s="338">
        <v>16</v>
      </c>
      <c r="AQ43" s="224" t="str">
        <f t="shared" si="9"/>
        <v>-</v>
      </c>
    </row>
    <row r="44" spans="1:43" s="7" customFormat="1" ht="21.95" customHeight="1">
      <c r="A44" s="611">
        <v>19</v>
      </c>
      <c r="B44" s="611"/>
      <c r="C44" s="183" t="s">
        <v>60</v>
      </c>
      <c r="D44" s="429" t="s">
        <v>58</v>
      </c>
      <c r="E44" s="545" t="s">
        <v>908</v>
      </c>
      <c r="F44" s="459" t="s">
        <v>908</v>
      </c>
      <c r="G44" s="459" t="s">
        <v>908</v>
      </c>
      <c r="H44" s="458" t="s">
        <v>908</v>
      </c>
      <c r="I44" s="548" t="s">
        <v>589</v>
      </c>
      <c r="J44" s="548"/>
      <c r="K44" s="548"/>
      <c r="L44" s="545">
        <f t="shared" si="5"/>
        <v>16</v>
      </c>
      <c r="M44" s="546"/>
      <c r="N44" s="547"/>
      <c r="O44" s="548" t="s">
        <v>59</v>
      </c>
      <c r="P44" s="548"/>
      <c r="Q44" s="548"/>
      <c r="R44" s="548">
        <f t="shared" si="6"/>
        <v>15</v>
      </c>
      <c r="S44" s="548"/>
      <c r="T44" s="548"/>
      <c r="U44" s="548">
        <v>30</v>
      </c>
      <c r="V44" s="548"/>
      <c r="W44" s="548"/>
      <c r="X44" s="548" t="s">
        <v>452</v>
      </c>
      <c r="Y44" s="548"/>
      <c r="Z44" s="548">
        <f t="shared" si="7"/>
        <v>15</v>
      </c>
      <c r="AA44" s="548"/>
      <c r="AB44" s="548"/>
      <c r="AC44" s="545" t="str">
        <f ca="1">IF(D44="~380В",'Исходник '!$O$2,'Исходник '!$Q$2)</f>
        <v>-</v>
      </c>
      <c r="AD44" s="547"/>
      <c r="AE44" s="548">
        <f t="shared" si="8"/>
        <v>30</v>
      </c>
      <c r="AF44" s="548"/>
      <c r="AG44" s="548"/>
      <c r="AH44" s="548" t="str">
        <f ca="1">IF(D44="~380В",'Исходник '!$O$1,'Исходник '!$Q$1)</f>
        <v>+</v>
      </c>
      <c r="AI44" s="548"/>
      <c r="AJ44" s="548">
        <v>0.3</v>
      </c>
      <c r="AK44" s="548"/>
      <c r="AL44" s="548"/>
      <c r="AM44" s="548">
        <v>1.2E-2</v>
      </c>
      <c r="AN44" s="548"/>
      <c r="AO44" s="548"/>
      <c r="AP44" s="338">
        <v>16</v>
      </c>
      <c r="AQ44" s="224" t="str">
        <f t="shared" si="9"/>
        <v>-</v>
      </c>
    </row>
    <row r="45" spans="1:43" s="7" customFormat="1" ht="21.95" customHeight="1">
      <c r="A45" s="611">
        <v>20</v>
      </c>
      <c r="B45" s="611"/>
      <c r="C45" s="183" t="s">
        <v>60</v>
      </c>
      <c r="D45" s="429" t="s">
        <v>58</v>
      </c>
      <c r="E45" s="545" t="s">
        <v>909</v>
      </c>
      <c r="F45" s="459" t="s">
        <v>909</v>
      </c>
      <c r="G45" s="459" t="s">
        <v>909</v>
      </c>
      <c r="H45" s="458" t="s">
        <v>909</v>
      </c>
      <c r="I45" s="548" t="s">
        <v>589</v>
      </c>
      <c r="J45" s="548"/>
      <c r="K45" s="548"/>
      <c r="L45" s="545">
        <f t="shared" si="5"/>
        <v>16</v>
      </c>
      <c r="M45" s="546"/>
      <c r="N45" s="547"/>
      <c r="O45" s="548" t="s">
        <v>59</v>
      </c>
      <c r="P45" s="548"/>
      <c r="Q45" s="548"/>
      <c r="R45" s="548">
        <f t="shared" si="6"/>
        <v>15</v>
      </c>
      <c r="S45" s="548"/>
      <c r="T45" s="548"/>
      <c r="U45" s="548">
        <v>30</v>
      </c>
      <c r="V45" s="548"/>
      <c r="W45" s="548"/>
      <c r="X45" s="548" t="s">
        <v>452</v>
      </c>
      <c r="Y45" s="548"/>
      <c r="Z45" s="548">
        <f t="shared" si="7"/>
        <v>15</v>
      </c>
      <c r="AA45" s="548"/>
      <c r="AB45" s="548"/>
      <c r="AC45" s="545" t="str">
        <f ca="1">IF(D45="~380В",'Исходник '!$O$2,'Исходник '!$Q$2)</f>
        <v>-</v>
      </c>
      <c r="AD45" s="547"/>
      <c r="AE45" s="548">
        <f t="shared" si="8"/>
        <v>30</v>
      </c>
      <c r="AF45" s="548"/>
      <c r="AG45" s="548"/>
      <c r="AH45" s="548" t="str">
        <f ca="1">IF(D45="~380В",'Исходник '!$O$1,'Исходник '!$Q$1)</f>
        <v>+</v>
      </c>
      <c r="AI45" s="548"/>
      <c r="AJ45" s="548">
        <v>0.3</v>
      </c>
      <c r="AK45" s="548"/>
      <c r="AL45" s="548"/>
      <c r="AM45" s="548">
        <v>1.3000000000000001E-2</v>
      </c>
      <c r="AN45" s="548"/>
      <c r="AO45" s="548"/>
      <c r="AP45" s="338">
        <v>16</v>
      </c>
      <c r="AQ45" s="224" t="str">
        <f t="shared" si="9"/>
        <v>-</v>
      </c>
    </row>
    <row r="46" spans="1:43" s="7" customFormat="1" ht="21.95" customHeight="1">
      <c r="A46" s="611">
        <v>21</v>
      </c>
      <c r="B46" s="611"/>
      <c r="C46" s="183" t="s">
        <v>60</v>
      </c>
      <c r="D46" s="429" t="s">
        <v>58</v>
      </c>
      <c r="E46" s="545" t="s">
        <v>910</v>
      </c>
      <c r="F46" s="459" t="s">
        <v>910</v>
      </c>
      <c r="G46" s="459" t="s">
        <v>910</v>
      </c>
      <c r="H46" s="458" t="s">
        <v>910</v>
      </c>
      <c r="I46" s="548" t="s">
        <v>589</v>
      </c>
      <c r="J46" s="548"/>
      <c r="K46" s="548"/>
      <c r="L46" s="545">
        <f t="shared" si="5"/>
        <v>16</v>
      </c>
      <c r="M46" s="546"/>
      <c r="N46" s="547"/>
      <c r="O46" s="548" t="s">
        <v>59</v>
      </c>
      <c r="P46" s="548"/>
      <c r="Q46" s="548"/>
      <c r="R46" s="548">
        <f t="shared" si="6"/>
        <v>15</v>
      </c>
      <c r="S46" s="548"/>
      <c r="T46" s="548"/>
      <c r="U46" s="548">
        <v>30</v>
      </c>
      <c r="V46" s="548"/>
      <c r="W46" s="548"/>
      <c r="X46" s="548" t="s">
        <v>452</v>
      </c>
      <c r="Y46" s="548"/>
      <c r="Z46" s="548">
        <f t="shared" si="7"/>
        <v>15</v>
      </c>
      <c r="AA46" s="548"/>
      <c r="AB46" s="548"/>
      <c r="AC46" s="545" t="str">
        <f ca="1">IF(D46="~380В",'Исходник '!$O$2,'Исходник '!$Q$2)</f>
        <v>-</v>
      </c>
      <c r="AD46" s="547"/>
      <c r="AE46" s="548">
        <f t="shared" si="8"/>
        <v>30</v>
      </c>
      <c r="AF46" s="548"/>
      <c r="AG46" s="548"/>
      <c r="AH46" s="548" t="str">
        <f ca="1">IF(D46="~380В",'Исходник '!$O$1,'Исходник '!$Q$1)</f>
        <v>+</v>
      </c>
      <c r="AI46" s="548"/>
      <c r="AJ46" s="548">
        <v>0.3</v>
      </c>
      <c r="AK46" s="548"/>
      <c r="AL46" s="548"/>
      <c r="AM46" s="548">
        <v>1.4000000000000002E-2</v>
      </c>
      <c r="AN46" s="548"/>
      <c r="AO46" s="548"/>
      <c r="AP46" s="338">
        <v>16</v>
      </c>
      <c r="AQ46" s="224" t="str">
        <f t="shared" si="9"/>
        <v>-</v>
      </c>
    </row>
    <row r="47" spans="1:43" ht="20.25" customHeight="1">
      <c r="A47" s="664" t="s">
        <v>841</v>
      </c>
      <c r="B47" s="664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4"/>
    </row>
    <row r="48" spans="1:43" s="99" customFormat="1" ht="39" customHeight="1">
      <c r="A48" s="679" t="s">
        <v>540</v>
      </c>
      <c r="B48" s="679" t="s">
        <v>541</v>
      </c>
      <c r="C48" s="679"/>
      <c r="D48" s="679"/>
      <c r="E48" s="679"/>
      <c r="F48" s="679"/>
      <c r="G48" s="679"/>
      <c r="H48" s="679" t="s">
        <v>542</v>
      </c>
      <c r="I48" s="679"/>
      <c r="J48" s="679"/>
      <c r="K48" s="679"/>
      <c r="L48" s="679" t="s">
        <v>544</v>
      </c>
      <c r="M48" s="679"/>
      <c r="N48" s="679"/>
      <c r="O48" s="679"/>
      <c r="P48" s="679"/>
      <c r="Q48" s="679"/>
      <c r="R48" s="679"/>
      <c r="S48" s="679"/>
      <c r="T48" s="679" t="s">
        <v>545</v>
      </c>
      <c r="U48" s="679"/>
      <c r="V48" s="679"/>
      <c r="W48" s="679"/>
      <c r="X48" s="679"/>
      <c r="Y48" s="679"/>
      <c r="Z48" s="679"/>
      <c r="AA48" s="679"/>
      <c r="AB48" s="679" t="s">
        <v>546</v>
      </c>
      <c r="AC48" s="679"/>
      <c r="AD48" s="679"/>
      <c r="AE48" s="679"/>
      <c r="AF48" s="679"/>
      <c r="AG48" s="679" t="s">
        <v>912</v>
      </c>
      <c r="AH48" s="679"/>
      <c r="AI48" s="679"/>
      <c r="AJ48" s="679"/>
      <c r="AK48" s="679"/>
      <c r="AL48" s="679"/>
      <c r="AM48" s="679"/>
      <c r="AN48" s="679"/>
      <c r="AO48" s="679"/>
      <c r="AP48"/>
    </row>
    <row r="49" spans="1:43" s="99" customFormat="1" ht="32.25" customHeight="1">
      <c r="A49" s="679"/>
      <c r="B49" s="679"/>
      <c r="C49" s="679"/>
      <c r="D49" s="679"/>
      <c r="E49" s="679"/>
      <c r="F49" s="679"/>
      <c r="G49" s="679"/>
      <c r="H49" s="679"/>
      <c r="I49" s="679"/>
      <c r="J49" s="679"/>
      <c r="K49" s="679"/>
      <c r="L49" s="679" t="s">
        <v>548</v>
      </c>
      <c r="M49" s="679"/>
      <c r="N49" s="679"/>
      <c r="O49" s="679"/>
      <c r="P49" s="679" t="s">
        <v>549</v>
      </c>
      <c r="Q49" s="679"/>
      <c r="R49" s="679"/>
      <c r="S49" s="679"/>
      <c r="T49" s="679" t="s">
        <v>550</v>
      </c>
      <c r="U49" s="679"/>
      <c r="V49" s="679"/>
      <c r="W49" s="679"/>
      <c r="X49" s="679" t="s">
        <v>551</v>
      </c>
      <c r="Y49" s="679"/>
      <c r="Z49" s="679"/>
      <c r="AA49" s="679"/>
      <c r="AB49" s="679"/>
      <c r="AC49" s="679"/>
      <c r="AD49" s="679"/>
      <c r="AE49" s="679"/>
      <c r="AF49" s="679"/>
      <c r="AG49" s="679"/>
      <c r="AH49" s="679"/>
      <c r="AI49" s="679"/>
      <c r="AJ49" s="679"/>
      <c r="AK49" s="679"/>
      <c r="AL49" s="679"/>
      <c r="AM49" s="679"/>
      <c r="AN49" s="679"/>
      <c r="AO49" s="679"/>
      <c r="AP49"/>
    </row>
    <row r="50" spans="1:43" s="99" customFormat="1" ht="41.25" customHeight="1">
      <c r="A50" s="56">
        <v>1</v>
      </c>
      <c r="B50" s="679" t="str">
        <f ca="1">'Исходник '!B56</f>
        <v>MPI-520</v>
      </c>
      <c r="C50" s="679"/>
      <c r="D50" s="679"/>
      <c r="E50" s="679"/>
      <c r="F50" s="679"/>
      <c r="G50" s="679"/>
      <c r="H50" s="679">
        <f ca="1">'Исходник '!C56</f>
        <v>723895</v>
      </c>
      <c r="I50" s="679"/>
      <c r="J50" s="679"/>
      <c r="K50" s="679"/>
      <c r="L50" s="679" t="str">
        <f ca="1">'Исходник '!F59</f>
        <v>0,1…1000 Ма(0,1мА)
0-300мс(1мс)</v>
      </c>
      <c r="M50" s="679"/>
      <c r="N50" s="679"/>
      <c r="O50" s="679"/>
      <c r="P50" s="679" t="str">
        <f ca="1">'Исходник '!H59</f>
        <v>± 5% I∆n
± (2% tА+2 е.м.р.)</v>
      </c>
      <c r="Q50" s="679"/>
      <c r="R50" s="679"/>
      <c r="S50" s="679"/>
      <c r="T50" s="762">
        <f ca="1">'Исходник '!J56</f>
        <v>43530</v>
      </c>
      <c r="U50" s="762"/>
      <c r="V50" s="762"/>
      <c r="W50" s="762"/>
      <c r="X50" s="762">
        <f ca="1">'Исходник '!L56</f>
        <v>43895</v>
      </c>
      <c r="Y50" s="762"/>
      <c r="Z50" s="762"/>
      <c r="AA50" s="762"/>
      <c r="AB50" s="679" t="str">
        <f ca="1">'Исходник '!N56</f>
        <v>№18182-А</v>
      </c>
      <c r="AC50" s="679"/>
      <c r="AD50" s="679"/>
      <c r="AE50" s="679"/>
      <c r="AF50" s="679"/>
      <c r="AG50" s="679" t="str">
        <f ca="1">'Исходник '!P56</f>
        <v>ООО "СОНЕЛ"</v>
      </c>
      <c r="AH50" s="679"/>
      <c r="AI50" s="679"/>
      <c r="AJ50" s="679"/>
      <c r="AK50" s="679"/>
      <c r="AL50" s="679"/>
      <c r="AM50" s="679"/>
      <c r="AN50" s="679"/>
      <c r="AO50" s="679"/>
      <c r="AP50"/>
    </row>
    <row r="51" spans="1:43" s="99" customFormat="1" ht="37.5" customHeight="1">
      <c r="A51" s="56">
        <v>2</v>
      </c>
      <c r="B51" s="679" t="str">
        <f ca="1">'Исходник '!B61</f>
        <v>ИВТМ-7</v>
      </c>
      <c r="C51" s="679"/>
      <c r="D51" s="679"/>
      <c r="E51" s="679"/>
      <c r="F51" s="679"/>
      <c r="G51" s="679"/>
      <c r="H51" s="679">
        <f ca="1">'Исходник '!C61</f>
        <v>20084</v>
      </c>
      <c r="I51" s="679"/>
      <c r="J51" s="679"/>
      <c r="K51" s="679"/>
      <c r="L51" s="679" t="str">
        <f ca="1">'Исходник '!F61</f>
        <v>0-99 %
-20 +60 0С</v>
      </c>
      <c r="M51" s="679"/>
      <c r="N51" s="679"/>
      <c r="O51" s="679"/>
      <c r="P51" s="679" t="str">
        <f ca="1">'Исходник '!H61</f>
        <v>± 2%
± 0,2 0С</v>
      </c>
      <c r="Q51" s="679"/>
      <c r="R51" s="679"/>
      <c r="S51" s="679"/>
      <c r="T51" s="762">
        <f ca="1">'Исходник '!J61</f>
        <v>43517</v>
      </c>
      <c r="U51" s="762"/>
      <c r="V51" s="762"/>
      <c r="W51" s="762"/>
      <c r="X51" s="762" t="str">
        <f ca="1">'Исходник '!L61</f>
        <v>21.02.2020.</v>
      </c>
      <c r="Y51" s="762"/>
      <c r="Z51" s="762"/>
      <c r="AA51" s="762"/>
      <c r="AB51" s="679" t="str">
        <f ca="1">'Исходник '!N61</f>
        <v>№197</v>
      </c>
      <c r="AC51" s="679"/>
      <c r="AD51" s="679"/>
      <c r="AE51" s="679"/>
      <c r="AF51" s="679"/>
      <c r="AG51" s="679" t="str">
        <f ca="1">'Исходник '!P61</f>
        <v>ООО НПК "АВИАПРИБОР"</v>
      </c>
      <c r="AH51" s="679"/>
      <c r="AI51" s="679"/>
      <c r="AJ51" s="679"/>
      <c r="AK51" s="679"/>
      <c r="AL51" s="679"/>
      <c r="AM51" s="679"/>
      <c r="AN51" s="679"/>
      <c r="AO51" s="679"/>
      <c r="AP51"/>
    </row>
    <row r="52" spans="1:43" s="99" customFormat="1" ht="38.25" customHeight="1">
      <c r="A52" s="56">
        <v>3</v>
      </c>
      <c r="B52" s="679" t="str">
        <f ca="1">'Исходник '!B62</f>
        <v>Барометр М 67</v>
      </c>
      <c r="C52" s="679"/>
      <c r="D52" s="679"/>
      <c r="E52" s="679"/>
      <c r="F52" s="679"/>
      <c r="G52" s="679"/>
      <c r="H52" s="679">
        <f ca="1">'Исходник '!C62</f>
        <v>74</v>
      </c>
      <c r="I52" s="679"/>
      <c r="J52" s="679"/>
      <c r="K52" s="679"/>
      <c r="L52" s="679" t="str">
        <f ca="1">'Исходник '!F62</f>
        <v>610-790
 мм.рт.ст</v>
      </c>
      <c r="M52" s="679"/>
      <c r="N52" s="679"/>
      <c r="O52" s="679"/>
      <c r="P52" s="679" t="str">
        <f ca="1">'Исходник '!H62</f>
        <v>± 0,8 мм.рт.ст.</v>
      </c>
      <c r="Q52" s="679"/>
      <c r="R52" s="679"/>
      <c r="S52" s="679"/>
      <c r="T52" s="762">
        <f ca="1">'Исходник '!J62</f>
        <v>43517</v>
      </c>
      <c r="U52" s="762"/>
      <c r="V52" s="762"/>
      <c r="W52" s="762"/>
      <c r="X52" s="762" t="str">
        <f ca="1">'Исходник '!L62</f>
        <v>21.02.2020.</v>
      </c>
      <c r="Y52" s="762"/>
      <c r="Z52" s="762"/>
      <c r="AA52" s="762"/>
      <c r="AB52" s="679" t="str">
        <f ca="1">'Исходник '!N62</f>
        <v>№200</v>
      </c>
      <c r="AC52" s="679"/>
      <c r="AD52" s="679"/>
      <c r="AE52" s="679"/>
      <c r="AF52" s="679"/>
      <c r="AG52" s="679" t="str">
        <f ca="1">'Исходник '!P62</f>
        <v>ООО НПК "АВИАПРИБОР"</v>
      </c>
      <c r="AH52" s="679"/>
      <c r="AI52" s="679"/>
      <c r="AJ52" s="679"/>
      <c r="AK52" s="679"/>
      <c r="AL52" s="679"/>
      <c r="AM52" s="679"/>
      <c r="AN52" s="679"/>
      <c r="AO52" s="679"/>
      <c r="AP52"/>
    </row>
    <row r="53" spans="1:43" s="210" customFormat="1" ht="22.5" customHeight="1">
      <c r="A53" s="9" t="s">
        <v>38</v>
      </c>
      <c r="B53"/>
      <c r="C53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/>
    </row>
    <row r="54" spans="1:43" s="210" customFormat="1" ht="20.25" customHeight="1">
      <c r="A54" s="9" t="s">
        <v>61</v>
      </c>
      <c r="B54"/>
      <c r="C54"/>
      <c r="D54" s="763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4"/>
      <c r="AI54" s="654"/>
      <c r="AJ54" s="654"/>
      <c r="AK54" s="654"/>
      <c r="AL54" s="654"/>
      <c r="AM54" s="654"/>
      <c r="AN54" s="654"/>
      <c r="AO54" s="654"/>
      <c r="AP54"/>
    </row>
    <row r="55" spans="1:43" s="98" customFormat="1" ht="40.5" customHeight="1">
      <c r="A55" s="64" t="s">
        <v>789</v>
      </c>
      <c r="B55" s="55"/>
      <c r="C55" s="55"/>
      <c r="D55" s="764" t="s">
        <v>62</v>
      </c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764"/>
      <c r="AL55" s="764"/>
      <c r="AM55" s="764"/>
      <c r="AN55" s="764"/>
      <c r="AO55" s="764"/>
      <c r="AP55" s="55"/>
    </row>
    <row r="56" spans="1:43" s="99" customFormat="1" ht="31.5" customHeight="1">
      <c r="A56" s="7"/>
      <c r="B56"/>
      <c r="C56" s="682" t="s">
        <v>790</v>
      </c>
      <c r="D56" s="682"/>
      <c r="E56" s="682"/>
      <c r="F56" s="682"/>
      <c r="G56" s="682"/>
      <c r="H56" s="682"/>
      <c r="I56" s="682"/>
      <c r="J56" s="682"/>
      <c r="K56"/>
      <c r="L56"/>
      <c r="M56" s="632" t="s">
        <v>749</v>
      </c>
      <c r="N56" s="632"/>
      <c r="O56" s="632"/>
      <c r="P56" s="632"/>
      <c r="Q56" s="632"/>
      <c r="R56" s="632"/>
      <c r="S56" s="632"/>
      <c r="T56"/>
      <c r="U56"/>
      <c r="V56" s="650"/>
      <c r="W56" s="650"/>
      <c r="X56" s="650"/>
      <c r="Y56" s="650"/>
      <c r="Z56" s="650"/>
      <c r="AA56" s="650"/>
      <c r="AB56"/>
      <c r="AC56"/>
      <c r="AD56" s="632" t="str">
        <f ca="1">'Исходник '!B12</f>
        <v>Евдокимов А.О.</v>
      </c>
      <c r="AE56" s="632"/>
      <c r="AF56" s="632"/>
      <c r="AG56" s="632"/>
      <c r="AH56" s="632"/>
      <c r="AI56" s="632"/>
      <c r="AJ56" s="632"/>
      <c r="AK56" s="632"/>
      <c r="AL56" s="632"/>
      <c r="AM56"/>
      <c r="AN56"/>
      <c r="AO56"/>
      <c r="AP56"/>
    </row>
    <row r="57" spans="1:43" s="99" customFormat="1">
      <c r="A57" s="105"/>
      <c r="B57"/>
      <c r="C57"/>
      <c r="D57"/>
      <c r="E57"/>
      <c r="F57"/>
      <c r="G57"/>
      <c r="H57"/>
      <c r="I57"/>
      <c r="J57"/>
      <c r="K57"/>
      <c r="L57"/>
      <c r="M57" s="633" t="s">
        <v>751</v>
      </c>
      <c r="N57" s="633"/>
      <c r="O57" s="633"/>
      <c r="P57" s="633"/>
      <c r="Q57" s="633"/>
      <c r="R57" s="633"/>
      <c r="S57" s="633"/>
      <c r="T57"/>
      <c r="U57"/>
      <c r="V57" s="633" t="s">
        <v>653</v>
      </c>
      <c r="W57" s="633"/>
      <c r="X57" s="633"/>
      <c r="Y57" s="633"/>
      <c r="Z57" s="633"/>
      <c r="AA57" s="633"/>
      <c r="AB57"/>
      <c r="AC57"/>
      <c r="AD57" s="607" t="s">
        <v>791</v>
      </c>
      <c r="AE57" s="607"/>
      <c r="AF57" s="607"/>
      <c r="AG57" s="607"/>
      <c r="AH57" s="607"/>
      <c r="AI57" s="607"/>
      <c r="AJ57" s="607"/>
      <c r="AK57" s="607"/>
      <c r="AL57" s="607"/>
      <c r="AM57"/>
      <c r="AN57"/>
      <c r="AO57"/>
      <c r="AP57"/>
    </row>
    <row r="58" spans="1:43" s="99" customFormat="1" ht="28.5" customHeight="1">
      <c r="A58" s="23"/>
      <c r="B58"/>
      <c r="C58"/>
      <c r="D58"/>
      <c r="E58" s="57"/>
      <c r="F58" s="57"/>
      <c r="G58" s="57"/>
      <c r="H58" s="57"/>
      <c r="I58" s="57"/>
      <c r="J58" s="57"/>
      <c r="K58" s="57"/>
      <c r="L58" s="57"/>
      <c r="M58" s="632" t="s">
        <v>792</v>
      </c>
      <c r="N58" s="632"/>
      <c r="O58" s="632"/>
      <c r="P58" s="632"/>
      <c r="Q58" s="632"/>
      <c r="R58" s="632"/>
      <c r="S58" s="632"/>
      <c r="T58"/>
      <c r="U58"/>
      <c r="V58" s="650"/>
      <c r="W58" s="650"/>
      <c r="X58" s="650"/>
      <c r="Y58" s="650"/>
      <c r="Z58" s="650"/>
      <c r="AA58" s="650"/>
      <c r="AB58"/>
      <c r="AC58"/>
      <c r="AD58" s="632" t="str">
        <f ca="1">'Исходник '!B13</f>
        <v>Кокшаров С.В.</v>
      </c>
      <c r="AE58" s="632"/>
      <c r="AF58" s="632"/>
      <c r="AG58" s="632"/>
      <c r="AH58" s="632"/>
      <c r="AI58" s="632"/>
      <c r="AJ58" s="632"/>
      <c r="AK58" s="632"/>
      <c r="AL58" s="632"/>
      <c r="AM58"/>
      <c r="AN58"/>
      <c r="AO58"/>
      <c r="AP58"/>
    </row>
    <row r="59" spans="1:43" s="99" customFormat="1" ht="15" customHeight="1">
      <c r="A59" s="24"/>
      <c r="B59"/>
      <c r="C59"/>
      <c r="D59"/>
      <c r="E59" s="58"/>
      <c r="F59" s="58"/>
      <c r="G59" s="58"/>
      <c r="H59" s="58"/>
      <c r="I59" s="58"/>
      <c r="J59" s="58"/>
      <c r="K59" s="58"/>
      <c r="L59"/>
      <c r="M59" s="633" t="s">
        <v>751</v>
      </c>
      <c r="N59" s="633"/>
      <c r="O59" s="633"/>
      <c r="P59" s="633"/>
      <c r="Q59" s="633"/>
      <c r="R59" s="633"/>
      <c r="S59" s="633"/>
      <c r="T59"/>
      <c r="U59"/>
      <c r="V59" s="633" t="s">
        <v>653</v>
      </c>
      <c r="W59" s="633"/>
      <c r="X59" s="633"/>
      <c r="Y59" s="633"/>
      <c r="Z59" s="633"/>
      <c r="AA59" s="633"/>
      <c r="AB59"/>
      <c r="AC59"/>
      <c r="AD59" s="607" t="s">
        <v>791</v>
      </c>
      <c r="AE59" s="607"/>
      <c r="AF59" s="607"/>
      <c r="AG59" s="607"/>
      <c r="AH59" s="607"/>
      <c r="AI59" s="607"/>
      <c r="AJ59" s="607"/>
      <c r="AK59" s="607"/>
      <c r="AL59" s="607"/>
      <c r="AM59"/>
      <c r="AN59"/>
      <c r="AO59"/>
      <c r="AP59"/>
    </row>
    <row r="60" spans="1:43" s="99" customFormat="1" ht="27" customHeight="1">
      <c r="A60" s="58"/>
      <c r="B60" s="58"/>
      <c r="C60" s="682" t="s">
        <v>793</v>
      </c>
      <c r="D60" s="682"/>
      <c r="E60" s="682"/>
      <c r="F60" s="682"/>
      <c r="G60" s="682"/>
      <c r="H60" s="682"/>
      <c r="I60" s="682"/>
      <c r="J60" s="682"/>
      <c r="K60" s="58"/>
      <c r="L60"/>
      <c r="M60" s="632" t="s">
        <v>749</v>
      </c>
      <c r="N60" s="632"/>
      <c r="O60" s="632"/>
      <c r="P60" s="632"/>
      <c r="Q60" s="632"/>
      <c r="R60" s="632"/>
      <c r="S60" s="632"/>
      <c r="T60"/>
      <c r="U60"/>
      <c r="V60" s="650"/>
      <c r="W60" s="650"/>
      <c r="X60" s="650"/>
      <c r="Y60" s="650"/>
      <c r="Z60" s="650"/>
      <c r="AA60" s="650"/>
      <c r="AB60"/>
      <c r="AC60"/>
      <c r="AD60" s="632" t="str">
        <f ca="1">'Исходник '!B12</f>
        <v>Евдокимов А.О.</v>
      </c>
      <c r="AE60" s="632"/>
      <c r="AF60" s="632"/>
      <c r="AG60" s="632"/>
      <c r="AH60" s="632"/>
      <c r="AI60" s="632"/>
      <c r="AJ60" s="632"/>
      <c r="AK60" s="632"/>
      <c r="AL60" s="632"/>
      <c r="AM60"/>
      <c r="AN60"/>
      <c r="AO60"/>
      <c r="AP60"/>
    </row>
    <row r="61" spans="1:43" s="99" customFormat="1" ht="14.25" customHeight="1">
      <c r="A61" s="23"/>
      <c r="B61"/>
      <c r="C61"/>
      <c r="D61"/>
      <c r="E61" s="57"/>
      <c r="F61" s="57"/>
      <c r="G61" s="57"/>
      <c r="H61" s="57"/>
      <c r="I61" s="57"/>
      <c r="J61" s="57"/>
      <c r="K61" s="57"/>
      <c r="L61"/>
      <c r="M61" s="633" t="s">
        <v>751</v>
      </c>
      <c r="N61" s="633"/>
      <c r="O61" s="633"/>
      <c r="P61" s="633"/>
      <c r="Q61" s="633"/>
      <c r="R61" s="633"/>
      <c r="S61" s="633"/>
      <c r="T61"/>
      <c r="U61"/>
      <c r="V61" s="633" t="s">
        <v>653</v>
      </c>
      <c r="W61" s="633"/>
      <c r="X61" s="633"/>
      <c r="Y61" s="633"/>
      <c r="Z61" s="633"/>
      <c r="AA61" s="633"/>
      <c r="AB61"/>
      <c r="AC61"/>
      <c r="AD61" s="607" t="s">
        <v>791</v>
      </c>
      <c r="AE61" s="607"/>
      <c r="AF61" s="607"/>
      <c r="AG61" s="607"/>
      <c r="AH61" s="607"/>
      <c r="AI61" s="607"/>
      <c r="AJ61" s="607"/>
      <c r="AK61" s="607"/>
      <c r="AL61" s="607"/>
      <c r="AM61"/>
      <c r="AN61"/>
      <c r="AO61"/>
      <c r="AP61"/>
    </row>
    <row r="62" spans="1:43" s="27" customFormat="1" ht="11.25">
      <c r="A62" s="683" t="s">
        <v>794</v>
      </c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683"/>
      <c r="AA62" s="683"/>
      <c r="AB62" s="683"/>
      <c r="AC62" s="683"/>
      <c r="AD62" s="683"/>
      <c r="AE62" s="683"/>
      <c r="AF62" s="683"/>
      <c r="AG62" s="683"/>
      <c r="AH62" s="683"/>
      <c r="AI62" s="683"/>
      <c r="AJ62" s="683"/>
      <c r="AK62" s="683"/>
      <c r="AL62" s="683"/>
      <c r="AM62" s="683"/>
      <c r="AN62" s="683"/>
      <c r="AO62" s="683"/>
      <c r="AQ62" s="106"/>
    </row>
    <row r="63" spans="1:43" s="27" customFormat="1" ht="11.25">
      <c r="A63" s="683" t="s">
        <v>795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83"/>
      <c r="Q63" s="683"/>
      <c r="R63" s="683"/>
      <c r="S63" s="683"/>
      <c r="T63" s="683"/>
      <c r="U63" s="683"/>
      <c r="V63" s="683"/>
      <c r="W63" s="683"/>
      <c r="X63" s="683"/>
      <c r="Y63" s="683"/>
      <c r="Z63" s="683"/>
      <c r="AA63" s="683"/>
      <c r="AB63" s="683"/>
      <c r="AC63" s="683"/>
      <c r="AD63" s="683"/>
      <c r="AE63" s="683"/>
      <c r="AF63" s="683"/>
      <c r="AG63" s="683"/>
      <c r="AH63" s="683"/>
      <c r="AI63" s="683"/>
      <c r="AJ63" s="683"/>
      <c r="AK63" s="683"/>
      <c r="AL63" s="683"/>
      <c r="AM63" s="683"/>
      <c r="AN63" s="683"/>
      <c r="AO63" s="683"/>
      <c r="AQ63" s="106"/>
    </row>
    <row r="64" spans="1:43" ht="15.75">
      <c r="A64" s="5"/>
    </row>
    <row r="68" ht="24.75" customHeight="1"/>
  </sheetData>
  <mergeCells count="400">
    <mergeCell ref="A62:AO62"/>
    <mergeCell ref="A63:AO63"/>
    <mergeCell ref="M59:S59"/>
    <mergeCell ref="V59:AA59"/>
    <mergeCell ref="AD59:AL59"/>
    <mergeCell ref="C60:J60"/>
    <mergeCell ref="M60:S60"/>
    <mergeCell ref="V60:AA60"/>
    <mergeCell ref="AD60:AL60"/>
    <mergeCell ref="M61:S61"/>
    <mergeCell ref="V61:AA61"/>
    <mergeCell ref="AD61:AL61"/>
    <mergeCell ref="D55:AO55"/>
    <mergeCell ref="C56:J56"/>
    <mergeCell ref="M56:S56"/>
    <mergeCell ref="V56:AA56"/>
    <mergeCell ref="AD56:AL56"/>
    <mergeCell ref="M57:S57"/>
    <mergeCell ref="V57:AA57"/>
    <mergeCell ref="AD57:AL57"/>
    <mergeCell ref="M58:S58"/>
    <mergeCell ref="V58:AA58"/>
    <mergeCell ref="AD58:AL58"/>
    <mergeCell ref="B52:G52"/>
    <mergeCell ref="H52:K52"/>
    <mergeCell ref="L52:O52"/>
    <mergeCell ref="P52:S52"/>
    <mergeCell ref="T52:W52"/>
    <mergeCell ref="X52:AA52"/>
    <mergeCell ref="AB52:AF52"/>
    <mergeCell ref="AG52:AO52"/>
    <mergeCell ref="D54:AO54"/>
    <mergeCell ref="B50:G50"/>
    <mergeCell ref="H50:K50"/>
    <mergeCell ref="L50:O50"/>
    <mergeCell ref="P50:S50"/>
    <mergeCell ref="T50:W50"/>
    <mergeCell ref="X50:AA50"/>
    <mergeCell ref="AB50:AF50"/>
    <mergeCell ref="AG50:AO50"/>
    <mergeCell ref="T51:W51"/>
    <mergeCell ref="X51:AA51"/>
    <mergeCell ref="AB51:AF51"/>
    <mergeCell ref="AG51:AO51"/>
    <mergeCell ref="B51:G51"/>
    <mergeCell ref="H51:K51"/>
    <mergeCell ref="L51:O51"/>
    <mergeCell ref="P51:S51"/>
    <mergeCell ref="AG48:AO49"/>
    <mergeCell ref="L49:O49"/>
    <mergeCell ref="AC46:AD46"/>
    <mergeCell ref="AE46:AG46"/>
    <mergeCell ref="AH46:AI46"/>
    <mergeCell ref="AJ46:AL46"/>
    <mergeCell ref="R46:T46"/>
    <mergeCell ref="U46:W46"/>
    <mergeCell ref="AM46:AO46"/>
    <mergeCell ref="A47:AB47"/>
    <mergeCell ref="L48:S48"/>
    <mergeCell ref="T48:AA48"/>
    <mergeCell ref="A48:A49"/>
    <mergeCell ref="B48:G49"/>
    <mergeCell ref="H48:K49"/>
    <mergeCell ref="AB48:AF49"/>
    <mergeCell ref="X44:Y44"/>
    <mergeCell ref="Z44:AB44"/>
    <mergeCell ref="P49:S49"/>
    <mergeCell ref="T49:W49"/>
    <mergeCell ref="X49:AA49"/>
    <mergeCell ref="A46:B46"/>
    <mergeCell ref="E46:H46"/>
    <mergeCell ref="I46:K46"/>
    <mergeCell ref="L46:N46"/>
    <mergeCell ref="O46:Q46"/>
    <mergeCell ref="R45:T45"/>
    <mergeCell ref="U45:W45"/>
    <mergeCell ref="X46:Y46"/>
    <mergeCell ref="Z46:AB46"/>
    <mergeCell ref="AC44:AD44"/>
    <mergeCell ref="AE44:AG44"/>
    <mergeCell ref="X45:Y45"/>
    <mergeCell ref="Z45:AB45"/>
    <mergeCell ref="AC45:AD45"/>
    <mergeCell ref="AE45:AG45"/>
    <mergeCell ref="R44:T44"/>
    <mergeCell ref="U44:W44"/>
    <mergeCell ref="AH44:AI44"/>
    <mergeCell ref="AJ44:AL44"/>
    <mergeCell ref="AM44:AO44"/>
    <mergeCell ref="A45:B45"/>
    <mergeCell ref="E45:H45"/>
    <mergeCell ref="I45:K45"/>
    <mergeCell ref="L45:N45"/>
    <mergeCell ref="O45:Q45"/>
    <mergeCell ref="AH42:AI42"/>
    <mergeCell ref="AJ42:AL42"/>
    <mergeCell ref="AH45:AI45"/>
    <mergeCell ref="AJ45:AL45"/>
    <mergeCell ref="AM45:AO45"/>
    <mergeCell ref="A44:B44"/>
    <mergeCell ref="E44:H44"/>
    <mergeCell ref="I44:K44"/>
    <mergeCell ref="L44:N44"/>
    <mergeCell ref="O44:Q44"/>
    <mergeCell ref="R43:T43"/>
    <mergeCell ref="U43:W43"/>
    <mergeCell ref="X43:Y43"/>
    <mergeCell ref="Z43:AB43"/>
    <mergeCell ref="AC42:AD42"/>
    <mergeCell ref="AE42:AG42"/>
    <mergeCell ref="AC43:AD43"/>
    <mergeCell ref="AE43:AG43"/>
    <mergeCell ref="AH43:AI43"/>
    <mergeCell ref="AJ43:AL43"/>
    <mergeCell ref="AM42:AO42"/>
    <mergeCell ref="A43:B43"/>
    <mergeCell ref="E43:H43"/>
    <mergeCell ref="I43:K43"/>
    <mergeCell ref="L43:N43"/>
    <mergeCell ref="O43:Q43"/>
    <mergeCell ref="AM43:AO43"/>
    <mergeCell ref="A42:B42"/>
    <mergeCell ref="E42:H42"/>
    <mergeCell ref="I42:K42"/>
    <mergeCell ref="L42:N42"/>
    <mergeCell ref="O42:Q42"/>
    <mergeCell ref="R42:T42"/>
    <mergeCell ref="U42:W42"/>
    <mergeCell ref="X42:Y42"/>
    <mergeCell ref="Z42:AB42"/>
    <mergeCell ref="AM40:AO40"/>
    <mergeCell ref="A41:B41"/>
    <mergeCell ref="E41:H41"/>
    <mergeCell ref="I41:K41"/>
    <mergeCell ref="L41:N41"/>
    <mergeCell ref="O41:Q41"/>
    <mergeCell ref="R41:T41"/>
    <mergeCell ref="U41:W41"/>
    <mergeCell ref="X41:Y41"/>
    <mergeCell ref="Z41:AB41"/>
    <mergeCell ref="X40:Y40"/>
    <mergeCell ref="Z40:AB40"/>
    <mergeCell ref="AC41:AD41"/>
    <mergeCell ref="AE41:AG41"/>
    <mergeCell ref="AH41:AI41"/>
    <mergeCell ref="AJ41:AL41"/>
    <mergeCell ref="AC40:AD40"/>
    <mergeCell ref="AE40:AG40"/>
    <mergeCell ref="AH40:AI40"/>
    <mergeCell ref="AJ40:AL40"/>
    <mergeCell ref="AH38:AI38"/>
    <mergeCell ref="AJ38:AL38"/>
    <mergeCell ref="AM41:AO41"/>
    <mergeCell ref="A40:B40"/>
    <mergeCell ref="E40:H40"/>
    <mergeCell ref="I40:K40"/>
    <mergeCell ref="L40:N40"/>
    <mergeCell ref="O40:Q40"/>
    <mergeCell ref="R40:T40"/>
    <mergeCell ref="U40:W40"/>
    <mergeCell ref="R39:T39"/>
    <mergeCell ref="U39:W39"/>
    <mergeCell ref="X39:Y39"/>
    <mergeCell ref="Z39:AB39"/>
    <mergeCell ref="AC38:AD38"/>
    <mergeCell ref="AE38:AG38"/>
    <mergeCell ref="AC39:AD39"/>
    <mergeCell ref="AE39:AG39"/>
    <mergeCell ref="AH39:AI39"/>
    <mergeCell ref="AJ39:AL39"/>
    <mergeCell ref="AM38:AO38"/>
    <mergeCell ref="A39:B39"/>
    <mergeCell ref="E39:H39"/>
    <mergeCell ref="I39:K39"/>
    <mergeCell ref="L39:N39"/>
    <mergeCell ref="O39:Q39"/>
    <mergeCell ref="AM39:AO39"/>
    <mergeCell ref="A38:B38"/>
    <mergeCell ref="E38:H38"/>
    <mergeCell ref="I38:K38"/>
    <mergeCell ref="L38:N38"/>
    <mergeCell ref="O38:Q38"/>
    <mergeCell ref="R38:T38"/>
    <mergeCell ref="U38:W38"/>
    <mergeCell ref="X38:Y38"/>
    <mergeCell ref="Z38:AB38"/>
    <mergeCell ref="AM36:AO36"/>
    <mergeCell ref="A37:B37"/>
    <mergeCell ref="E37:H37"/>
    <mergeCell ref="I37:K37"/>
    <mergeCell ref="L37:N37"/>
    <mergeCell ref="O37:Q37"/>
    <mergeCell ref="R37:T37"/>
    <mergeCell ref="U37:W37"/>
    <mergeCell ref="X37:Y37"/>
    <mergeCell ref="Z37:AB37"/>
    <mergeCell ref="X36:Y36"/>
    <mergeCell ref="Z36:AB36"/>
    <mergeCell ref="AC37:AD37"/>
    <mergeCell ref="AE37:AG37"/>
    <mergeCell ref="AH37:AI37"/>
    <mergeCell ref="AJ37:AL37"/>
    <mergeCell ref="AC36:AD36"/>
    <mergeCell ref="AE36:AG36"/>
    <mergeCell ref="AH36:AI36"/>
    <mergeCell ref="AJ36:AL36"/>
    <mergeCell ref="AH32:AI32"/>
    <mergeCell ref="AJ32:AL32"/>
    <mergeCell ref="AM37:AO37"/>
    <mergeCell ref="A36:B36"/>
    <mergeCell ref="E36:H36"/>
    <mergeCell ref="I36:K36"/>
    <mergeCell ref="L36:N36"/>
    <mergeCell ref="O36:Q36"/>
    <mergeCell ref="R36:T36"/>
    <mergeCell ref="U36:W36"/>
    <mergeCell ref="R35:T35"/>
    <mergeCell ref="U35:W35"/>
    <mergeCell ref="X35:Y35"/>
    <mergeCell ref="Z35:AB35"/>
    <mergeCell ref="AC32:AD32"/>
    <mergeCell ref="AE32:AG32"/>
    <mergeCell ref="AC35:AD35"/>
    <mergeCell ref="AE35:AG35"/>
    <mergeCell ref="AH35:AI35"/>
    <mergeCell ref="AJ35:AL35"/>
    <mergeCell ref="AM32:AO32"/>
    <mergeCell ref="A35:B35"/>
    <mergeCell ref="E35:H35"/>
    <mergeCell ref="I35:K35"/>
    <mergeCell ref="L35:N35"/>
    <mergeCell ref="O35:Q35"/>
    <mergeCell ref="AM35:AO35"/>
    <mergeCell ref="A32:B32"/>
    <mergeCell ref="E32:H32"/>
    <mergeCell ref="I32:K32"/>
    <mergeCell ref="L32:N32"/>
    <mergeCell ref="O32:Q32"/>
    <mergeCell ref="R32:T32"/>
    <mergeCell ref="U32:W32"/>
    <mergeCell ref="X32:Y32"/>
    <mergeCell ref="Z32:AB32"/>
    <mergeCell ref="AM28:AO28"/>
    <mergeCell ref="A31:B31"/>
    <mergeCell ref="E31:H31"/>
    <mergeCell ref="I31:K31"/>
    <mergeCell ref="L31:N31"/>
    <mergeCell ref="O31:Q31"/>
    <mergeCell ref="R31:T31"/>
    <mergeCell ref="U31:W31"/>
    <mergeCell ref="X31:Y31"/>
    <mergeCell ref="Z31:AB31"/>
    <mergeCell ref="X28:Y28"/>
    <mergeCell ref="Z28:AB28"/>
    <mergeCell ref="AC31:AD31"/>
    <mergeCell ref="AE31:AG31"/>
    <mergeCell ref="AH31:AI31"/>
    <mergeCell ref="AJ31:AL31"/>
    <mergeCell ref="AC28:AD28"/>
    <mergeCell ref="AE28:AG28"/>
    <mergeCell ref="AH28:AI28"/>
    <mergeCell ref="AJ28:AL28"/>
    <mergeCell ref="AH26:AI26"/>
    <mergeCell ref="AJ26:AL26"/>
    <mergeCell ref="AM31:AO31"/>
    <mergeCell ref="A28:B28"/>
    <mergeCell ref="E28:H28"/>
    <mergeCell ref="I28:K28"/>
    <mergeCell ref="L28:N28"/>
    <mergeCell ref="O28:Q28"/>
    <mergeCell ref="R28:T28"/>
    <mergeCell ref="U28:W28"/>
    <mergeCell ref="R27:T27"/>
    <mergeCell ref="U27:W27"/>
    <mergeCell ref="X27:Y27"/>
    <mergeCell ref="Z27:AB27"/>
    <mergeCell ref="AC26:AD26"/>
    <mergeCell ref="AE26:AG26"/>
    <mergeCell ref="AC27:AD27"/>
    <mergeCell ref="AE27:AG27"/>
    <mergeCell ref="AH27:AI27"/>
    <mergeCell ref="AJ27:AL27"/>
    <mergeCell ref="AM26:AO26"/>
    <mergeCell ref="A27:B27"/>
    <mergeCell ref="E27:H27"/>
    <mergeCell ref="I27:K27"/>
    <mergeCell ref="L27:N27"/>
    <mergeCell ref="O27:Q27"/>
    <mergeCell ref="AM27:AO27"/>
    <mergeCell ref="A26:B26"/>
    <mergeCell ref="E26:H26"/>
    <mergeCell ref="I26:K26"/>
    <mergeCell ref="L26:N26"/>
    <mergeCell ref="O26:Q26"/>
    <mergeCell ref="R26:T26"/>
    <mergeCell ref="U26:W26"/>
    <mergeCell ref="X26:Y26"/>
    <mergeCell ref="Z26:AB26"/>
    <mergeCell ref="AM24:AO24"/>
    <mergeCell ref="A25:B25"/>
    <mergeCell ref="E25:H25"/>
    <mergeCell ref="I25:K25"/>
    <mergeCell ref="L25:N25"/>
    <mergeCell ref="O25:Q25"/>
    <mergeCell ref="R25:T25"/>
    <mergeCell ref="U25:W25"/>
    <mergeCell ref="X25:Y25"/>
    <mergeCell ref="Z25:AB25"/>
    <mergeCell ref="X24:Y24"/>
    <mergeCell ref="Z24:AB24"/>
    <mergeCell ref="AC25:AD25"/>
    <mergeCell ref="AE25:AG25"/>
    <mergeCell ref="AH25:AI25"/>
    <mergeCell ref="AJ25:AL25"/>
    <mergeCell ref="AC24:AD24"/>
    <mergeCell ref="AE24:AG24"/>
    <mergeCell ref="AH24:AI24"/>
    <mergeCell ref="AJ24:AL24"/>
    <mergeCell ref="AH22:AI22"/>
    <mergeCell ref="AJ22:AL22"/>
    <mergeCell ref="AM25:AO25"/>
    <mergeCell ref="A24:B24"/>
    <mergeCell ref="E24:H24"/>
    <mergeCell ref="I24:K24"/>
    <mergeCell ref="L24:N24"/>
    <mergeCell ref="O24:Q24"/>
    <mergeCell ref="R24:T24"/>
    <mergeCell ref="U24:W24"/>
    <mergeCell ref="R23:T23"/>
    <mergeCell ref="U23:W23"/>
    <mergeCell ref="X23:Y23"/>
    <mergeCell ref="Z23:AB23"/>
    <mergeCell ref="AC22:AD22"/>
    <mergeCell ref="AE22:AG22"/>
    <mergeCell ref="AC23:AD23"/>
    <mergeCell ref="AE23:AG23"/>
    <mergeCell ref="AH23:AI23"/>
    <mergeCell ref="AJ23:AL23"/>
    <mergeCell ref="AM22:AO22"/>
    <mergeCell ref="A23:B23"/>
    <mergeCell ref="E23:H23"/>
    <mergeCell ref="I23:K23"/>
    <mergeCell ref="L23:N23"/>
    <mergeCell ref="O23:Q23"/>
    <mergeCell ref="AM23:AO23"/>
    <mergeCell ref="A22:B22"/>
    <mergeCell ref="E22:H22"/>
    <mergeCell ref="I22:K22"/>
    <mergeCell ref="L22:N22"/>
    <mergeCell ref="O22:Q22"/>
    <mergeCell ref="R22:T22"/>
    <mergeCell ref="U22:W22"/>
    <mergeCell ref="X22:Y22"/>
    <mergeCell ref="Z22:AB22"/>
    <mergeCell ref="A19:B19"/>
    <mergeCell ref="E19:H19"/>
    <mergeCell ref="I19:K19"/>
    <mergeCell ref="L19:N19"/>
    <mergeCell ref="AP15:AP18"/>
    <mergeCell ref="AQ15:AQ18"/>
    <mergeCell ref="AJ17:AL18"/>
    <mergeCell ref="AM17:AO18"/>
    <mergeCell ref="Z19:AB19"/>
    <mergeCell ref="AC19:AD19"/>
    <mergeCell ref="AE19:AG19"/>
    <mergeCell ref="AH19:AI19"/>
    <mergeCell ref="O19:Q19"/>
    <mergeCell ref="R19:T19"/>
    <mergeCell ref="U19:W19"/>
    <mergeCell ref="X19:Y19"/>
    <mergeCell ref="AJ19:AL19"/>
    <mergeCell ref="AM19:AO19"/>
    <mergeCell ref="A10:AO10"/>
    <mergeCell ref="A11:AO11"/>
    <mergeCell ref="A12:AO12"/>
    <mergeCell ref="A13:AO13"/>
    <mergeCell ref="A14:AO14"/>
    <mergeCell ref="AJ15:AO16"/>
    <mergeCell ref="A15:B18"/>
    <mergeCell ref="C15:D18"/>
    <mergeCell ref="Z1:AO1"/>
    <mergeCell ref="A5:AO5"/>
    <mergeCell ref="A6:AO6"/>
    <mergeCell ref="A7:AO7"/>
    <mergeCell ref="A9:AO9"/>
    <mergeCell ref="R15:T18"/>
    <mergeCell ref="U15:W18"/>
    <mergeCell ref="X15:Y18"/>
    <mergeCell ref="Z15:AB18"/>
    <mergeCell ref="E15:H18"/>
    <mergeCell ref="B2:E2"/>
    <mergeCell ref="Z2:AO2"/>
    <mergeCell ref="Z3:AO3"/>
    <mergeCell ref="AG4:AO4"/>
    <mergeCell ref="AC15:AD18"/>
    <mergeCell ref="AE15:AG18"/>
    <mergeCell ref="AH15:AI18"/>
    <mergeCell ref="I15:K18"/>
    <mergeCell ref="L15:N18"/>
    <mergeCell ref="O15:Q18"/>
  </mergeCells>
  <phoneticPr fontId="0" type="noConversion"/>
  <pageMargins left="0.39374999999999999" right="0.19652800000000001" top="0.45972200000000002" bottom="0.59027799999999997" header="0.32986100000000002" footer="0.19652800000000001"/>
  <pageSetup paperSize="9" fitToWidth="0" fitToHeight="3" orientation="landscape"/>
  <headerFooter>
    <oddFooter>&amp;C&amp;A стр.&amp;P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Q59"/>
  <sheetViews>
    <sheetView workbookViewId="0">
      <selection activeCell="AH15" sqref="AH15"/>
    </sheetView>
  </sheetViews>
  <sheetFormatPr defaultRowHeight="12.75"/>
  <cols>
    <col min="1" max="1" width="6" customWidth="1"/>
    <col min="2" max="2" width="0.5703125" customWidth="1"/>
    <col min="3" max="3" width="2.7109375" customWidth="1"/>
    <col min="4" max="4" width="2.140625" customWidth="1"/>
    <col min="5" max="5" width="2.85546875" customWidth="1"/>
    <col min="6" max="6" width="2.5703125" customWidth="1"/>
    <col min="7" max="7" width="1.42578125" customWidth="1"/>
    <col min="8" max="8" width="5.140625" customWidth="1"/>
    <col min="9" max="9" width="8.140625" customWidth="1"/>
    <col min="10" max="10" width="3.5703125" customWidth="1"/>
    <col min="11" max="11" width="3.28515625" customWidth="1"/>
    <col min="12" max="12" width="16.5703125" customWidth="1"/>
    <col min="13" max="14" width="3.28515625" customWidth="1"/>
    <col min="15" max="15" width="8.7109375" customWidth="1"/>
    <col min="16" max="16" width="2.85546875" customWidth="1"/>
    <col min="17" max="17" width="4" customWidth="1"/>
    <col min="18" max="18" width="8.140625" customWidth="1"/>
    <col min="19" max="19" width="1.85546875" customWidth="1"/>
    <col min="20" max="20" width="2.7109375" customWidth="1"/>
    <col min="21" max="21" width="11.5703125" customWidth="1"/>
    <col min="22" max="22" width="3.28515625" customWidth="1"/>
    <col min="23" max="23" width="1.5703125" customWidth="1"/>
    <col min="24" max="24" width="5.7109375" customWidth="1"/>
    <col min="25" max="25" width="4.85546875" customWidth="1"/>
    <col min="26" max="26" width="3.85546875" customWidth="1"/>
    <col min="27" max="27" width="1.85546875" customWidth="1"/>
    <col min="28" max="28" width="5.7109375" customWidth="1"/>
    <col min="29" max="29" width="4" customWidth="1"/>
    <col min="30" max="30" width="0.85546875" customWidth="1"/>
    <col min="31" max="31" width="11.42578125" customWidth="1"/>
    <col min="32" max="32" width="2.42578125" hidden="1" customWidth="1"/>
    <col min="33" max="33" width="5.42578125" hidden="1" customWidth="1"/>
    <col min="34" max="34" width="22.42578125" customWidth="1"/>
    <col min="35" max="35" width="2.7109375" customWidth="1"/>
    <col min="36" max="36" width="10.28515625" customWidth="1"/>
    <col min="37" max="37" width="6.7109375" customWidth="1"/>
    <col min="38" max="38" width="14.7109375" customWidth="1"/>
  </cols>
  <sheetData>
    <row r="1" spans="1:38" ht="17.25" customHeight="1">
      <c r="A1" s="70"/>
      <c r="B1" s="9" t="str">
        <f ca="1">'Исходник '!B3</f>
        <v>ООО «ТМ-Электро»</v>
      </c>
      <c r="P1" s="766" t="s">
        <v>63</v>
      </c>
      <c r="Q1" s="444"/>
      <c r="R1" s="444"/>
      <c r="S1" s="444"/>
      <c r="T1" s="444"/>
      <c r="U1" s="444"/>
      <c r="V1" s="553">
        <f ca="1">'Исходник '!B19</f>
        <v>0</v>
      </c>
      <c r="W1" s="553"/>
      <c r="X1" s="553"/>
      <c r="Y1" s="553"/>
      <c r="Z1" s="553"/>
      <c r="AA1" s="553"/>
      <c r="AB1" s="553"/>
      <c r="AC1" s="553"/>
      <c r="AD1" s="553"/>
      <c r="AE1" s="553"/>
    </row>
    <row r="2" spans="1:38" s="134" customFormat="1" ht="18" customHeight="1">
      <c r="A2" s="53"/>
      <c r="B2" s="504" t="s">
        <v>632</v>
      </c>
      <c r="C2" s="516"/>
      <c r="D2" s="516"/>
      <c r="E2" s="516"/>
      <c r="F2" s="516"/>
      <c r="G2" s="516"/>
      <c r="H2" s="516"/>
      <c r="I2" s="516"/>
      <c r="J2" s="516"/>
      <c r="K2" s="152"/>
      <c r="L2" s="152"/>
      <c r="M2" s="152"/>
      <c r="N2" s="152"/>
      <c r="P2" s="767" t="s">
        <v>64</v>
      </c>
      <c r="Q2" s="468"/>
      <c r="R2" s="468"/>
      <c r="S2" s="468"/>
      <c r="T2" s="468"/>
      <c r="U2" s="468"/>
      <c r="V2" s="553" t="str">
        <f ca="1">'Исходник '!B20</f>
        <v>Фитнес-клуб</v>
      </c>
      <c r="W2" s="553"/>
      <c r="X2" s="553"/>
      <c r="Y2" s="553"/>
      <c r="Z2" s="553"/>
      <c r="AA2" s="553"/>
      <c r="AB2" s="553"/>
      <c r="AC2" s="553"/>
      <c r="AD2" s="553"/>
      <c r="AE2" s="553"/>
    </row>
    <row r="3" spans="1:38" ht="16.5" customHeight="1">
      <c r="A3" s="9"/>
      <c r="B3" s="2" t="str">
        <f ca="1">CONCATENATE('Исходник '!A5," ",'Исходник '!B5)</f>
        <v>Свидетельство о регистрации № 6231-2</v>
      </c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P3" s="767" t="s">
        <v>65</v>
      </c>
      <c r="Q3" s="468"/>
      <c r="R3" s="468"/>
      <c r="S3" s="468"/>
      <c r="T3" s="468"/>
      <c r="U3" s="468"/>
      <c r="V3" s="553">
        <f ca="1">'Исходник '!B21</f>
        <v>0</v>
      </c>
      <c r="W3" s="553"/>
      <c r="X3" s="553"/>
      <c r="Y3" s="553"/>
      <c r="Z3" s="553"/>
      <c r="AA3" s="553"/>
      <c r="AB3" s="553"/>
      <c r="AC3" s="553"/>
      <c r="AD3" s="553"/>
      <c r="AE3" s="553"/>
      <c r="AJ3" s="11"/>
    </row>
    <row r="4" spans="1:38" ht="15" customHeight="1">
      <c r="A4" s="70"/>
      <c r="B4" s="2" t="str">
        <f ca="1">CONCATENATE('Исходник '!A7," ",'Исходник '!B7)</f>
        <v xml:space="preserve">Действительно до «11» января 2022 г. </v>
      </c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  <c r="P4" s="766" t="s">
        <v>66</v>
      </c>
      <c r="Q4" s="444"/>
      <c r="R4" s="444"/>
      <c r="S4" s="444"/>
      <c r="T4" s="444"/>
      <c r="U4" s="444"/>
      <c r="V4" s="444"/>
      <c r="W4" s="444"/>
      <c r="X4" s="444"/>
      <c r="Y4" s="444"/>
      <c r="Z4" s="659" t="str">
        <f ca="1">'Исходник '!B34</f>
        <v>29 января 2020г.</v>
      </c>
      <c r="AA4" s="657"/>
      <c r="AB4" s="657"/>
      <c r="AC4" s="657"/>
      <c r="AD4" s="657"/>
      <c r="AE4" s="657"/>
    </row>
    <row r="5" spans="1:38" ht="15" customHeight="1">
      <c r="A5" s="651" t="str">
        <f ca="1">CONCATENATE('Исходник '!A16," ",'Исходник '!F12)</f>
        <v>Протокол  №505-7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</row>
    <row r="6" spans="1:38" ht="15" customHeight="1">
      <c r="A6" s="660" t="s">
        <v>67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</row>
    <row r="7" spans="1:38" ht="15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</row>
    <row r="8" spans="1:38" ht="15" customHeight="1">
      <c r="A8" s="7"/>
      <c r="B8" s="7"/>
      <c r="C8" s="7"/>
      <c r="D8" s="7"/>
      <c r="E8" s="7"/>
      <c r="F8" s="71"/>
      <c r="H8" s="7"/>
      <c r="I8" s="270" t="s">
        <v>798</v>
      </c>
      <c r="J8" s="72">
        <f ca="1">'Исходник '!B36</f>
        <v>21</v>
      </c>
      <c r="K8" s="7" t="s">
        <v>521</v>
      </c>
      <c r="L8" s="7" t="s">
        <v>68</v>
      </c>
      <c r="P8" s="88">
        <f ca="1">'Исходник '!B37</f>
        <v>58</v>
      </c>
      <c r="Q8" s="12" t="s">
        <v>523</v>
      </c>
      <c r="R8" s="12"/>
      <c r="S8" s="7" t="s">
        <v>69</v>
      </c>
      <c r="Z8" s="72">
        <f ca="1">'Исходник '!B38</f>
        <v>741</v>
      </c>
      <c r="AA8" s="7" t="s">
        <v>525</v>
      </c>
      <c r="AC8" s="7"/>
      <c r="AD8" s="7"/>
      <c r="AE8" s="7"/>
    </row>
    <row r="9" spans="1:38" ht="15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</row>
    <row r="10" spans="1:38" ht="15" customHeight="1">
      <c r="A10" s="500" t="str">
        <f ca="1">'Исходник '!B23</f>
        <v>эксплуатационные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</row>
    <row r="11" spans="1:38" s="55" customFormat="1" ht="15" customHeight="1">
      <c r="A11" s="606" t="s">
        <v>802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L11" s="290"/>
    </row>
    <row r="12" spans="1:38" ht="15" customHeight="1">
      <c r="A12" s="596" t="s">
        <v>70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L12" s="350"/>
    </row>
    <row r="13" spans="1:38" ht="15" customHeight="1">
      <c r="A13" s="596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L13" s="350"/>
    </row>
    <row r="14" spans="1:38" ht="18" customHeight="1">
      <c r="A14" s="351"/>
      <c r="B14" s="656" t="s">
        <v>71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L14" s="350"/>
    </row>
    <row r="15" spans="1:38" ht="18" customHeight="1">
      <c r="A15" s="351"/>
      <c r="B15" s="656" t="s">
        <v>72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L15" s="132"/>
    </row>
    <row r="16" spans="1:38" ht="18" customHeight="1">
      <c r="A16" s="351"/>
      <c r="B16" s="656" t="s">
        <v>73</v>
      </c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L16" s="9"/>
    </row>
    <row r="17" spans="1:31" ht="18" customHeight="1">
      <c r="A17" s="351"/>
      <c r="B17" s="656" t="s">
        <v>74</v>
      </c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</row>
    <row r="18" spans="1:31" ht="18" customHeight="1">
      <c r="A18" s="351"/>
      <c r="B18" s="656" t="s">
        <v>75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</row>
    <row r="19" spans="1:31" ht="18" customHeight="1">
      <c r="A19" s="664" t="s">
        <v>804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</row>
    <row r="20" spans="1:31" s="2" customFormat="1" ht="42.75" customHeight="1">
      <c r="A20" s="548" t="s">
        <v>540</v>
      </c>
      <c r="B20" s="548"/>
      <c r="C20" s="548" t="s">
        <v>76</v>
      </c>
      <c r="D20" s="548"/>
      <c r="E20" s="548"/>
      <c r="F20" s="548"/>
      <c r="G20" s="548"/>
      <c r="H20" s="548"/>
      <c r="I20" s="548"/>
      <c r="J20" s="548" t="s">
        <v>77</v>
      </c>
      <c r="K20" s="548"/>
      <c r="L20" s="548"/>
      <c r="M20" s="548" t="s">
        <v>78</v>
      </c>
      <c r="N20" s="548"/>
      <c r="O20" s="548"/>
      <c r="P20" s="548" t="s">
        <v>79</v>
      </c>
      <c r="Q20" s="548"/>
      <c r="R20" s="548"/>
      <c r="S20" s="548" t="s">
        <v>80</v>
      </c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 t="s">
        <v>81</v>
      </c>
      <c r="AE20" s="548"/>
    </row>
    <row r="21" spans="1:31" s="2" customFormat="1" ht="18" customHeight="1">
      <c r="A21" s="548"/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 t="s">
        <v>82</v>
      </c>
      <c r="T21" s="548"/>
      <c r="U21" s="548"/>
      <c r="V21" s="665" t="s">
        <v>83</v>
      </c>
      <c r="W21" s="666"/>
      <c r="X21" s="666"/>
      <c r="Y21" s="486"/>
      <c r="Z21" s="548" t="s">
        <v>84</v>
      </c>
      <c r="AA21" s="548"/>
      <c r="AB21" s="548"/>
      <c r="AC21" s="548"/>
      <c r="AD21" s="548"/>
      <c r="AE21" s="548"/>
    </row>
    <row r="22" spans="1:31" s="2" customFormat="1" ht="29.25" customHeight="1">
      <c r="A22" s="548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62"/>
      <c r="W22" s="563"/>
      <c r="X22" s="563"/>
      <c r="Y22" s="482"/>
      <c r="Z22" s="548"/>
      <c r="AA22" s="548"/>
      <c r="AB22" s="548"/>
      <c r="AC22" s="548"/>
      <c r="AD22" s="548"/>
      <c r="AE22" s="548"/>
    </row>
    <row r="23" spans="1:31" ht="18" customHeight="1">
      <c r="A23" s="735">
        <v>1</v>
      </c>
      <c r="B23" s="735"/>
      <c r="C23" s="735">
        <v>2</v>
      </c>
      <c r="D23" s="735"/>
      <c r="E23" s="735"/>
      <c r="F23" s="735"/>
      <c r="G23" s="735"/>
      <c r="H23" s="735"/>
      <c r="I23" s="735"/>
      <c r="J23" s="735">
        <v>3</v>
      </c>
      <c r="K23" s="735"/>
      <c r="L23" s="735"/>
      <c r="M23" s="735">
        <v>4</v>
      </c>
      <c r="N23" s="735"/>
      <c r="O23" s="735"/>
      <c r="P23" s="735">
        <v>5</v>
      </c>
      <c r="Q23" s="735"/>
      <c r="R23" s="735"/>
      <c r="S23" s="735">
        <v>6</v>
      </c>
      <c r="T23" s="735"/>
      <c r="U23" s="735"/>
      <c r="V23" s="768">
        <v>7</v>
      </c>
      <c r="W23" s="769"/>
      <c r="X23" s="769"/>
      <c r="Y23" s="464"/>
      <c r="Z23" s="735">
        <v>8</v>
      </c>
      <c r="AA23" s="735"/>
      <c r="AB23" s="735"/>
      <c r="AC23" s="735"/>
      <c r="AD23" s="735">
        <v>9</v>
      </c>
      <c r="AE23" s="735"/>
    </row>
    <row r="24" spans="1:31" s="138" customFormat="1" ht="76.5" customHeight="1">
      <c r="A24" s="548">
        <v>1</v>
      </c>
      <c r="B24" s="548"/>
      <c r="C24" s="545" t="s">
        <v>85</v>
      </c>
      <c r="D24" s="546"/>
      <c r="E24" s="546"/>
      <c r="F24" s="546"/>
      <c r="G24" s="546"/>
      <c r="H24" s="546"/>
      <c r="I24" s="547"/>
      <c r="J24" s="548" t="s">
        <v>86</v>
      </c>
      <c r="K24" s="548"/>
      <c r="L24" s="548"/>
      <c r="M24" s="548">
        <v>20</v>
      </c>
      <c r="N24" s="548"/>
      <c r="O24" s="548"/>
      <c r="P24" s="548">
        <v>40</v>
      </c>
      <c r="Q24" s="548"/>
      <c r="R24" s="548"/>
      <c r="S24" s="548">
        <v>4</v>
      </c>
      <c r="T24" s="548"/>
      <c r="U24" s="548"/>
      <c r="V24" s="545">
        <v>1.2</v>
      </c>
      <c r="W24" s="546"/>
      <c r="X24" s="546"/>
      <c r="Y24" s="464"/>
      <c r="Z24" s="548">
        <f>V24*AD24</f>
        <v>1.92</v>
      </c>
      <c r="AA24" s="548"/>
      <c r="AB24" s="548"/>
      <c r="AC24" s="548"/>
      <c r="AD24" s="548">
        <v>1.6</v>
      </c>
      <c r="AE24" s="548"/>
    </row>
    <row r="25" spans="1:31" s="138" customFormat="1" ht="36" customHeight="1">
      <c r="A25" s="548">
        <v>1</v>
      </c>
      <c r="B25" s="548"/>
      <c r="C25" s="545" t="s">
        <v>87</v>
      </c>
      <c r="D25" s="546"/>
      <c r="E25" s="546"/>
      <c r="F25" s="546"/>
      <c r="G25" s="546"/>
      <c r="H25" s="546"/>
      <c r="I25" s="547"/>
      <c r="J25" s="548" t="s">
        <v>88</v>
      </c>
      <c r="K25" s="548"/>
      <c r="L25" s="548"/>
      <c r="M25" s="548">
        <v>20</v>
      </c>
      <c r="N25" s="548"/>
      <c r="O25" s="548"/>
      <c r="P25" s="548">
        <v>40</v>
      </c>
      <c r="Q25" s="548"/>
      <c r="R25" s="548"/>
      <c r="S25" s="548">
        <v>4</v>
      </c>
      <c r="T25" s="548"/>
      <c r="U25" s="548"/>
      <c r="V25" s="545">
        <v>1.2</v>
      </c>
      <c r="W25" s="546"/>
      <c r="X25" s="546"/>
      <c r="Y25" s="464"/>
      <c r="Z25" s="548">
        <f>V25*AD25</f>
        <v>1.92</v>
      </c>
      <c r="AA25" s="548"/>
      <c r="AB25" s="548"/>
      <c r="AC25" s="548"/>
      <c r="AD25" s="548">
        <v>1.6</v>
      </c>
      <c r="AE25" s="548"/>
    </row>
    <row r="26" spans="1:31" ht="18" customHeight="1">
      <c r="A26" s="770"/>
      <c r="B26" s="770"/>
      <c r="C26" s="770"/>
      <c r="D26" s="770"/>
      <c r="E26" s="770"/>
      <c r="F26" s="770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0"/>
      <c r="S26" s="770"/>
      <c r="T26" s="770"/>
      <c r="U26" s="770"/>
      <c r="V26" s="771"/>
      <c r="W26" s="772"/>
      <c r="X26" s="772"/>
      <c r="Y26" s="464"/>
      <c r="Z26" s="770"/>
      <c r="AA26" s="770"/>
      <c r="AB26" s="770"/>
      <c r="AC26" s="770"/>
      <c r="AD26" s="770"/>
      <c r="AE26" s="770"/>
    </row>
    <row r="27" spans="1:31" ht="18" customHeight="1">
      <c r="A27" s="770"/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1"/>
      <c r="W27" s="772"/>
      <c r="X27" s="772"/>
      <c r="Y27" s="464"/>
      <c r="Z27" s="770"/>
      <c r="AA27" s="770"/>
      <c r="AB27" s="770"/>
      <c r="AC27" s="770"/>
      <c r="AD27" s="770"/>
      <c r="AE27" s="770"/>
    </row>
    <row r="28" spans="1:31" ht="18" customHeight="1">
      <c r="A28" s="770"/>
      <c r="B28" s="770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0"/>
      <c r="U28" s="770"/>
      <c r="V28" s="771"/>
      <c r="W28" s="772"/>
      <c r="X28" s="772"/>
      <c r="Y28" s="464"/>
      <c r="Z28" s="770"/>
      <c r="AA28" s="770"/>
      <c r="AB28" s="770"/>
      <c r="AC28" s="770"/>
      <c r="AD28" s="770"/>
      <c r="AE28" s="770"/>
    </row>
    <row r="29" spans="1:31" ht="18" customHeight="1">
      <c r="A29" s="770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70"/>
      <c r="V29" s="771"/>
      <c r="W29" s="772"/>
      <c r="X29" s="772"/>
      <c r="Y29" s="464"/>
      <c r="Z29" s="770"/>
      <c r="AA29" s="770"/>
      <c r="AB29" s="770"/>
      <c r="AC29" s="770"/>
      <c r="AD29" s="770"/>
      <c r="AE29" s="770"/>
    </row>
    <row r="30" spans="1:31" ht="18" customHeight="1">
      <c r="A30" s="770"/>
      <c r="B30" s="770"/>
      <c r="C30" s="770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770"/>
      <c r="O30" s="770"/>
      <c r="P30" s="770"/>
      <c r="Q30" s="770"/>
      <c r="R30" s="770"/>
      <c r="S30" s="770"/>
      <c r="T30" s="770"/>
      <c r="U30" s="770"/>
      <c r="V30" s="771"/>
      <c r="W30" s="772"/>
      <c r="X30" s="772"/>
      <c r="Y30" s="464"/>
      <c r="Z30" s="770"/>
      <c r="AA30" s="770"/>
      <c r="AB30" s="770"/>
      <c r="AC30" s="770"/>
      <c r="AD30" s="770"/>
      <c r="AE30" s="770"/>
    </row>
    <row r="31" spans="1:31" ht="18" customHeight="1">
      <c r="A31" s="770"/>
      <c r="B31" s="770"/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1"/>
      <c r="W31" s="772"/>
      <c r="X31" s="772"/>
      <c r="Y31" s="464"/>
      <c r="Z31" s="770"/>
      <c r="AA31" s="770"/>
      <c r="AB31" s="770"/>
      <c r="AC31" s="770"/>
      <c r="AD31" s="770"/>
      <c r="AE31" s="770"/>
    </row>
    <row r="32" spans="1:31" ht="15.75">
      <c r="A32" s="696" t="s">
        <v>841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</row>
    <row r="33" spans="1:36" ht="20.25" customHeight="1">
      <c r="A33" s="679" t="s">
        <v>540</v>
      </c>
      <c r="B33" s="679" t="s">
        <v>541</v>
      </c>
      <c r="C33" s="679"/>
      <c r="D33" s="679"/>
      <c r="E33" s="679"/>
      <c r="F33" s="679" t="s">
        <v>542</v>
      </c>
      <c r="G33" s="679"/>
      <c r="H33" s="679"/>
      <c r="I33" s="679" t="s">
        <v>544</v>
      </c>
      <c r="J33" s="679"/>
      <c r="K33" s="679"/>
      <c r="L33" s="679"/>
      <c r="M33" s="679"/>
      <c r="N33" s="679"/>
      <c r="O33" s="679"/>
      <c r="P33" s="679" t="s">
        <v>545</v>
      </c>
      <c r="Q33" s="679"/>
      <c r="R33" s="679"/>
      <c r="S33" s="679"/>
      <c r="T33" s="679"/>
      <c r="U33" s="679"/>
      <c r="V33" s="679" t="s">
        <v>546</v>
      </c>
      <c r="W33" s="679"/>
      <c r="X33" s="679"/>
      <c r="Y33" s="679"/>
      <c r="Z33" s="679"/>
      <c r="AA33" s="679" t="s">
        <v>89</v>
      </c>
      <c r="AB33" s="679"/>
      <c r="AC33" s="679"/>
      <c r="AD33" s="679"/>
      <c r="AE33" s="679"/>
    </row>
    <row r="34" spans="1:36" ht="24.75" customHeight="1">
      <c r="A34" s="679"/>
      <c r="B34" s="679"/>
      <c r="C34" s="679"/>
      <c r="D34" s="679"/>
      <c r="E34" s="679"/>
      <c r="F34" s="679"/>
      <c r="G34" s="679"/>
      <c r="H34" s="679"/>
      <c r="I34" s="679" t="s">
        <v>548</v>
      </c>
      <c r="J34" s="679"/>
      <c r="K34" s="679"/>
      <c r="L34" s="679"/>
      <c r="M34" s="679" t="s">
        <v>549</v>
      </c>
      <c r="N34" s="679"/>
      <c r="O34" s="679"/>
      <c r="P34" s="679" t="s">
        <v>550</v>
      </c>
      <c r="Q34" s="679"/>
      <c r="R34" s="679"/>
      <c r="S34" s="679" t="s">
        <v>551</v>
      </c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</row>
    <row r="35" spans="1:36" ht="19.5" customHeight="1">
      <c r="A35" s="198">
        <v>1</v>
      </c>
      <c r="B35" s="640" t="str">
        <f ca="1">'Исходник '!B56</f>
        <v>MPI-520</v>
      </c>
      <c r="C35" s="640"/>
      <c r="D35" s="640"/>
      <c r="E35" s="640"/>
      <c r="F35" s="640">
        <f ca="1">'Исходник '!C56</f>
        <v>723895</v>
      </c>
      <c r="G35" s="640"/>
      <c r="H35" s="640"/>
      <c r="I35" s="640" t="str">
        <f ca="1">'Исходник '!F56</f>
        <v>0...400 Ом (0,01 Ом)</v>
      </c>
      <c r="J35" s="640"/>
      <c r="K35" s="640"/>
      <c r="L35" s="640"/>
      <c r="M35" s="640" t="str">
        <f ca="1">'Исходник '!H56</f>
        <v>± (2% R+3 е.м.р.)</v>
      </c>
      <c r="N35" s="640"/>
      <c r="O35" s="640"/>
      <c r="P35" s="642">
        <f ca="1">'Исходник '!J56</f>
        <v>43530</v>
      </c>
      <c r="Q35" s="642"/>
      <c r="R35" s="642"/>
      <c r="S35" s="642">
        <f ca="1">'Исходник '!L56</f>
        <v>43895</v>
      </c>
      <c r="T35" s="642"/>
      <c r="U35" s="642"/>
      <c r="V35" s="640" t="str">
        <f ca="1">'Исходник '!N56</f>
        <v>№18182-А</v>
      </c>
      <c r="W35" s="640"/>
      <c r="X35" s="640"/>
      <c r="Y35" s="640"/>
      <c r="Z35" s="640"/>
      <c r="AA35" s="640" t="str">
        <f ca="1">'Исходник '!P56</f>
        <v>ООО "СОНЕЛ"</v>
      </c>
      <c r="AB35" s="640"/>
      <c r="AC35" s="640"/>
      <c r="AD35" s="640"/>
      <c r="AE35" s="640"/>
    </row>
    <row r="36" spans="1:36" ht="27.75" customHeight="1">
      <c r="A36" s="198">
        <v>2</v>
      </c>
      <c r="B36" s="462" t="str">
        <f ca="1">'Исходник '!B61</f>
        <v>ИВТМ-7</v>
      </c>
      <c r="C36" s="773"/>
      <c r="D36" s="773"/>
      <c r="E36" s="463"/>
      <c r="F36" s="462">
        <f ca="1">'Исходник '!C61</f>
        <v>20084</v>
      </c>
      <c r="G36" s="773"/>
      <c r="H36" s="463"/>
      <c r="I36" s="640" t="str">
        <f ca="1">'Исходник '!F61</f>
        <v>0-99 %
-20 +60 0С</v>
      </c>
      <c r="J36" s="640"/>
      <c r="K36" s="640"/>
      <c r="L36" s="640"/>
      <c r="M36" s="640" t="str">
        <f ca="1">'Исходник '!H61</f>
        <v>± 2%
± 0,2 0С</v>
      </c>
      <c r="N36" s="640"/>
      <c r="O36" s="640"/>
      <c r="P36" s="642">
        <f ca="1">'Исходник '!J61</f>
        <v>43517</v>
      </c>
      <c r="Q36" s="642"/>
      <c r="R36" s="642"/>
      <c r="S36" s="642" t="str">
        <f ca="1">'Исходник '!L61</f>
        <v>21.02.2020.</v>
      </c>
      <c r="T36" s="642"/>
      <c r="U36" s="642"/>
      <c r="V36" s="640" t="str">
        <f ca="1">'Исходник '!N61</f>
        <v>№197</v>
      </c>
      <c r="W36" s="640"/>
      <c r="X36" s="640"/>
      <c r="Y36" s="640"/>
      <c r="Z36" s="640"/>
      <c r="AA36" s="640" t="str">
        <f ca="1">'Исходник '!P61</f>
        <v>ООО НПК "АВИАПРИБОР"</v>
      </c>
      <c r="AB36" s="640"/>
      <c r="AC36" s="640"/>
      <c r="AD36" s="640"/>
      <c r="AE36" s="640"/>
    </row>
    <row r="37" spans="1:36" ht="30" customHeight="1">
      <c r="A37" s="198">
        <v>3</v>
      </c>
      <c r="B37" s="640" t="str">
        <f ca="1">'Исходник '!B62</f>
        <v>Барометр М 67</v>
      </c>
      <c r="C37" s="640"/>
      <c r="D37" s="640"/>
      <c r="E37" s="640"/>
      <c r="F37" s="462">
        <f ca="1">'Исходник '!C62</f>
        <v>74</v>
      </c>
      <c r="G37" s="773"/>
      <c r="H37" s="463"/>
      <c r="I37" s="640" t="str">
        <f ca="1">'Исходник '!F62</f>
        <v>610-790
 мм.рт.ст</v>
      </c>
      <c r="J37" s="640"/>
      <c r="K37" s="640"/>
      <c r="L37" s="640"/>
      <c r="M37" s="640" t="str">
        <f ca="1">'Исходник '!H62</f>
        <v>± 0,8 мм.рт.ст.</v>
      </c>
      <c r="N37" s="640"/>
      <c r="O37" s="640"/>
      <c r="P37" s="642">
        <f ca="1">'Исходник '!J62</f>
        <v>43517</v>
      </c>
      <c r="Q37" s="642"/>
      <c r="R37" s="642"/>
      <c r="S37" s="642" t="str">
        <f ca="1">'Исходник '!L62</f>
        <v>21.02.2020.</v>
      </c>
      <c r="T37" s="642"/>
      <c r="U37" s="642"/>
      <c r="V37" s="640" t="str">
        <f ca="1">'Исходник '!N62</f>
        <v>№200</v>
      </c>
      <c r="W37" s="640"/>
      <c r="X37" s="640"/>
      <c r="Y37" s="640"/>
      <c r="Z37" s="640"/>
      <c r="AA37" s="640" t="str">
        <f ca="1">'Исходник '!P62</f>
        <v>ООО НПК "АВИАПРИБОР"</v>
      </c>
      <c r="AB37" s="640"/>
      <c r="AC37" s="640"/>
      <c r="AD37" s="640"/>
      <c r="AE37" s="640"/>
      <c r="AJ37" s="132"/>
    </row>
    <row r="38" spans="1:36" ht="9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33"/>
      <c r="Q38" s="133"/>
      <c r="R38" s="133"/>
      <c r="S38" s="133"/>
      <c r="T38" s="133"/>
      <c r="U38" s="133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J38" s="4"/>
    </row>
    <row r="39" spans="1:36" ht="15.75" customHeight="1">
      <c r="A39" s="651" t="s">
        <v>90</v>
      </c>
      <c r="B39" s="651"/>
      <c r="C39" s="651"/>
      <c r="D39" s="651"/>
      <c r="E39" s="651"/>
      <c r="F39" s="651"/>
      <c r="G39" s="655"/>
      <c r="H39" s="656" t="s">
        <v>91</v>
      </c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J39" s="4"/>
    </row>
    <row r="40" spans="1:36" ht="17.25" customHeight="1">
      <c r="A40" s="88"/>
      <c r="B40" s="291"/>
      <c r="C40" s="291"/>
      <c r="D40" s="291"/>
      <c r="E40" s="291"/>
      <c r="F40" s="291"/>
      <c r="G40" s="291"/>
      <c r="H40" s="656" t="s">
        <v>92</v>
      </c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J40" s="132"/>
    </row>
    <row r="41" spans="1:36" ht="15.75" customHeight="1">
      <c r="A41" s="651"/>
      <c r="B41" s="651"/>
      <c r="C41" s="651"/>
      <c r="D41" s="651"/>
      <c r="E41" s="651"/>
      <c r="F41" s="651"/>
      <c r="G41" s="655"/>
      <c r="H41" s="553" t="s">
        <v>93</v>
      </c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J41" s="4"/>
    </row>
    <row r="42" spans="1:36" ht="48" customHeight="1">
      <c r="A42" s="88"/>
      <c r="B42" s="291"/>
      <c r="C42" s="291"/>
      <c r="D42" s="291"/>
      <c r="E42" s="291"/>
      <c r="F42" s="291"/>
      <c r="G42" s="291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J42" s="4"/>
    </row>
    <row r="43" spans="1:36" ht="15.75" customHeight="1">
      <c r="A43" s="651"/>
      <c r="B43" s="651"/>
      <c r="C43" s="651"/>
      <c r="D43" s="651"/>
      <c r="E43" s="651"/>
      <c r="F43" s="651"/>
      <c r="G43" s="655"/>
      <c r="H43" s="553" t="s">
        <v>94</v>
      </c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J43" s="4"/>
    </row>
    <row r="44" spans="1:36" ht="12.75" customHeight="1">
      <c r="A44" s="88"/>
      <c r="B44" s="291"/>
      <c r="C44" s="291"/>
      <c r="D44" s="291"/>
      <c r="E44" s="291"/>
      <c r="F44" s="291"/>
      <c r="G44" s="291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J44" s="4"/>
    </row>
    <row r="45" spans="1:36" ht="20.25" customHeight="1">
      <c r="A45" s="88"/>
      <c r="B45" s="291"/>
      <c r="C45" s="291"/>
      <c r="D45" s="291"/>
      <c r="E45" s="291"/>
      <c r="F45" s="291"/>
      <c r="G45" s="291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J45" s="132"/>
    </row>
    <row r="46" spans="1:36" s="210" customFormat="1" ht="15.75" customHeight="1">
      <c r="A46" s="774"/>
      <c r="B46" s="774"/>
      <c r="C46" s="774"/>
      <c r="D46" s="774"/>
      <c r="E46" s="774"/>
      <c r="F46" s="774"/>
      <c r="G46" s="775"/>
      <c r="H46" s="553" t="s">
        <v>95</v>
      </c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J46" s="8"/>
    </row>
    <row r="47" spans="1:36" s="210" customFormat="1" ht="12.75" customHeight="1">
      <c r="A47" s="71"/>
      <c r="B47" s="292"/>
      <c r="C47" s="292"/>
      <c r="D47" s="292"/>
      <c r="E47" s="292"/>
      <c r="F47" s="292"/>
      <c r="G47" s="292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J47" s="8"/>
    </row>
    <row r="48" spans="1:36" s="210" customFormat="1" ht="36" customHeight="1">
      <c r="A48" s="71"/>
      <c r="B48" s="292"/>
      <c r="C48" s="292"/>
      <c r="D48" s="292"/>
      <c r="E48" s="292"/>
      <c r="F48" s="292"/>
      <c r="G48" s="292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J48" s="212"/>
    </row>
    <row r="49" spans="1:43" ht="15.75" customHeight="1">
      <c r="A49" s="656" t="s">
        <v>96</v>
      </c>
      <c r="B49" s="776"/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J49" s="4"/>
    </row>
    <row r="50" spans="1:43" ht="20.25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J50" s="4"/>
    </row>
    <row r="51" spans="1:43" s="293" customFormat="1" ht="16.5" customHeight="1">
      <c r="A51" s="509" t="s">
        <v>790</v>
      </c>
      <c r="B51" s="655"/>
      <c r="C51" s="655"/>
      <c r="D51" s="655"/>
      <c r="E51" s="655"/>
      <c r="F51" s="655"/>
      <c r="G51" s="655"/>
      <c r="H51" s="655"/>
      <c r="I51" s="655"/>
      <c r="J51" s="632" t="s">
        <v>749</v>
      </c>
      <c r="K51" s="727"/>
      <c r="L51" s="727"/>
      <c r="M51" s="727"/>
      <c r="N51" s="727"/>
      <c r="O51" s="727"/>
      <c r="P51" s="58"/>
      <c r="Q51" s="267"/>
      <c r="R51" s="267"/>
      <c r="S51" s="267"/>
      <c r="T51" s="267"/>
      <c r="U51" s="268"/>
      <c r="V51" s="58"/>
      <c r="W51" s="58"/>
      <c r="X51" s="632" t="str">
        <f ca="1">'Исходник '!B12</f>
        <v>Евдокимов А.О.</v>
      </c>
      <c r="Y51" s="632"/>
      <c r="Z51" s="632"/>
      <c r="AA51" s="632"/>
      <c r="AB51" s="632"/>
      <c r="AC51" s="632"/>
      <c r="AD51" s="632"/>
      <c r="AE51" s="632"/>
      <c r="AJ51" s="4"/>
    </row>
    <row r="52" spans="1:43" ht="13.5" customHeight="1">
      <c r="A52" s="78"/>
      <c r="B52" s="78"/>
      <c r="C52" s="78"/>
      <c r="D52" s="78"/>
      <c r="E52" s="78"/>
      <c r="F52" s="78"/>
      <c r="G52" s="57"/>
      <c r="H52" s="57"/>
      <c r="I52" s="57"/>
      <c r="J52" s="607" t="s">
        <v>751</v>
      </c>
      <c r="K52" s="777"/>
      <c r="L52" s="777"/>
      <c r="M52" s="777"/>
      <c r="N52" s="777"/>
      <c r="O52" s="777"/>
      <c r="P52" s="57"/>
      <c r="Q52" s="607" t="s">
        <v>653</v>
      </c>
      <c r="R52" s="777"/>
      <c r="S52" s="777"/>
      <c r="T52" s="777"/>
      <c r="U52" s="777"/>
      <c r="V52" s="57"/>
      <c r="W52" s="57"/>
      <c r="X52" s="778" t="s">
        <v>791</v>
      </c>
      <c r="Y52" s="778"/>
      <c r="Z52" s="778"/>
      <c r="AA52" s="778"/>
      <c r="AB52" s="778"/>
      <c r="AC52" s="778"/>
      <c r="AD52" s="778"/>
      <c r="AE52" s="778"/>
    </row>
    <row r="53" spans="1:43" ht="15">
      <c r="A53" s="294"/>
      <c r="G53" s="58"/>
      <c r="H53" s="58"/>
      <c r="I53" s="58"/>
      <c r="J53" s="632" t="s">
        <v>792</v>
      </c>
      <c r="K53" s="727"/>
      <c r="L53" s="727"/>
      <c r="M53" s="727"/>
      <c r="N53" s="727"/>
      <c r="O53" s="727"/>
      <c r="P53" s="58"/>
      <c r="Q53" s="58"/>
      <c r="R53" s="58"/>
      <c r="S53" s="58"/>
      <c r="T53" s="58"/>
      <c r="V53" s="58"/>
      <c r="W53" s="58"/>
      <c r="X53" s="632" t="s">
        <v>476</v>
      </c>
      <c r="Y53" s="632"/>
      <c r="Z53" s="632"/>
      <c r="AA53" s="632"/>
      <c r="AB53" s="632"/>
      <c r="AC53" s="632"/>
      <c r="AD53" s="632"/>
      <c r="AE53" s="632"/>
    </row>
    <row r="54" spans="1:43" ht="15">
      <c r="A54" s="24"/>
      <c r="J54" s="607" t="s">
        <v>751</v>
      </c>
      <c r="K54" s="777"/>
      <c r="L54" s="777"/>
      <c r="M54" s="777"/>
      <c r="N54" s="777"/>
      <c r="O54" s="777"/>
      <c r="P54" s="57"/>
      <c r="Q54" s="607" t="s">
        <v>653</v>
      </c>
      <c r="R54" s="777"/>
      <c r="S54" s="777"/>
      <c r="T54" s="777"/>
      <c r="U54" s="777"/>
      <c r="V54" s="57"/>
      <c r="W54" s="57"/>
      <c r="X54" s="778" t="s">
        <v>791</v>
      </c>
      <c r="Y54" s="778"/>
      <c r="Z54" s="778"/>
      <c r="AA54" s="778"/>
      <c r="AB54" s="778"/>
      <c r="AC54" s="778"/>
      <c r="AD54" s="778"/>
      <c r="AE54" s="778"/>
    </row>
    <row r="55" spans="1:43" ht="15">
      <c r="A55" s="77" t="s">
        <v>97</v>
      </c>
      <c r="B55" s="19"/>
      <c r="C55" s="19"/>
      <c r="D55" s="19"/>
      <c r="E55" s="19"/>
      <c r="F55" s="19"/>
      <c r="G55" s="58"/>
      <c r="H55" s="58"/>
      <c r="I55" s="58"/>
      <c r="J55" s="632" t="s">
        <v>749</v>
      </c>
      <c r="K55" s="727"/>
      <c r="L55" s="727"/>
      <c r="M55" s="727"/>
      <c r="N55" s="727"/>
      <c r="O55" s="727"/>
      <c r="P55" s="58"/>
      <c r="Q55" s="58"/>
      <c r="R55" s="58"/>
      <c r="S55" s="58"/>
      <c r="T55" s="58"/>
      <c r="V55" s="58"/>
      <c r="W55" s="58"/>
      <c r="X55" s="632" t="str">
        <f ca="1">'Исходник '!B12</f>
        <v>Евдокимов А.О.</v>
      </c>
      <c r="Y55" s="632"/>
      <c r="Z55" s="632"/>
      <c r="AA55" s="632"/>
      <c r="AB55" s="632"/>
      <c r="AC55" s="632"/>
      <c r="AD55" s="632"/>
      <c r="AE55" s="632"/>
    </row>
    <row r="56" spans="1:43" ht="15">
      <c r="A56" s="77"/>
      <c r="B56" s="78"/>
      <c r="C56" s="78"/>
      <c r="D56" s="78"/>
      <c r="E56" s="78"/>
      <c r="F56" s="78"/>
      <c r="G56" s="57"/>
      <c r="H56" s="57"/>
      <c r="I56" s="57"/>
      <c r="J56" s="607" t="s">
        <v>751</v>
      </c>
      <c r="K56" s="777"/>
      <c r="L56" s="777"/>
      <c r="M56" s="777"/>
      <c r="N56" s="777"/>
      <c r="O56" s="777"/>
      <c r="P56" s="57"/>
      <c r="Q56" s="607" t="s">
        <v>653</v>
      </c>
      <c r="R56" s="777"/>
      <c r="S56" s="777"/>
      <c r="T56" s="777"/>
      <c r="U56" s="777"/>
      <c r="V56" s="57"/>
      <c r="W56" s="57"/>
      <c r="X56" s="778" t="s">
        <v>791</v>
      </c>
      <c r="Y56" s="778"/>
      <c r="Z56" s="778"/>
      <c r="AA56" s="778"/>
      <c r="AB56" s="778"/>
      <c r="AC56" s="778"/>
      <c r="AD56" s="778"/>
      <c r="AE56" s="778"/>
      <c r="AJ56" s="157"/>
      <c r="AK56" s="141"/>
      <c r="AL56" s="141"/>
      <c r="AM56" s="141"/>
      <c r="AN56" s="141"/>
      <c r="AO56" s="141"/>
      <c r="AP56" s="173"/>
      <c r="AQ56" s="173"/>
    </row>
    <row r="57" spans="1:43">
      <c r="A57" s="634" t="s">
        <v>794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634"/>
      <c r="AD57" s="634"/>
      <c r="AE57" s="634"/>
    </row>
    <row r="58" spans="1:43">
      <c r="A58" s="649" t="s">
        <v>795</v>
      </c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49"/>
      <c r="Z58" s="649"/>
      <c r="AA58" s="649"/>
      <c r="AB58" s="649"/>
      <c r="AC58" s="649"/>
      <c r="AD58" s="649"/>
      <c r="AE58" s="649"/>
    </row>
    <row r="59" spans="1:43" ht="25.5" customHeight="1"/>
  </sheetData>
  <mergeCells count="177">
    <mergeCell ref="J56:O56"/>
    <mergeCell ref="Q56:U56"/>
    <mergeCell ref="X56:AE56"/>
    <mergeCell ref="A57:AE57"/>
    <mergeCell ref="A58:AE58"/>
    <mergeCell ref="J52:O52"/>
    <mergeCell ref="Q52:U52"/>
    <mergeCell ref="X52:AE52"/>
    <mergeCell ref="J53:O53"/>
    <mergeCell ref="X53:AE53"/>
    <mergeCell ref="J54:O54"/>
    <mergeCell ref="Q54:U54"/>
    <mergeCell ref="X54:AE54"/>
    <mergeCell ref="J55:O55"/>
    <mergeCell ref="X55:AE55"/>
    <mergeCell ref="H40:AE40"/>
    <mergeCell ref="A41:G41"/>
    <mergeCell ref="H41:AE42"/>
    <mergeCell ref="A43:G43"/>
    <mergeCell ref="H43:AE45"/>
    <mergeCell ref="A46:G46"/>
    <mergeCell ref="H46:AE48"/>
    <mergeCell ref="A49:AE49"/>
    <mergeCell ref="A51:I51"/>
    <mergeCell ref="J51:O51"/>
    <mergeCell ref="X51:AE51"/>
    <mergeCell ref="B37:E37"/>
    <mergeCell ref="F37:H37"/>
    <mergeCell ref="I37:L37"/>
    <mergeCell ref="M37:O37"/>
    <mergeCell ref="P37:R37"/>
    <mergeCell ref="S37:U37"/>
    <mergeCell ref="V37:Z37"/>
    <mergeCell ref="AA37:AE37"/>
    <mergeCell ref="A39:G39"/>
    <mergeCell ref="H39:AE39"/>
    <mergeCell ref="B35:E35"/>
    <mergeCell ref="F35:H35"/>
    <mergeCell ref="I35:L35"/>
    <mergeCell ref="M35:O35"/>
    <mergeCell ref="P35:R35"/>
    <mergeCell ref="S35:U35"/>
    <mergeCell ref="V35:Z35"/>
    <mergeCell ref="AA35:AE35"/>
    <mergeCell ref="P36:R36"/>
    <mergeCell ref="S36:U36"/>
    <mergeCell ref="V36:Z36"/>
    <mergeCell ref="AA36:AE36"/>
    <mergeCell ref="B36:E36"/>
    <mergeCell ref="F36:H36"/>
    <mergeCell ref="I36:L36"/>
    <mergeCell ref="M36:O36"/>
    <mergeCell ref="P33:U33"/>
    <mergeCell ref="A33:A34"/>
    <mergeCell ref="B33:E34"/>
    <mergeCell ref="F33:H34"/>
    <mergeCell ref="V33:Z34"/>
    <mergeCell ref="AA33:AE34"/>
    <mergeCell ref="I34:L34"/>
    <mergeCell ref="M34:O34"/>
    <mergeCell ref="P34:R34"/>
    <mergeCell ref="S34:U34"/>
    <mergeCell ref="A31:B31"/>
    <mergeCell ref="C31:I31"/>
    <mergeCell ref="J31:L31"/>
    <mergeCell ref="M31:O31"/>
    <mergeCell ref="P31:R31"/>
    <mergeCell ref="S31:U31"/>
    <mergeCell ref="A32:AE32"/>
    <mergeCell ref="I33:O33"/>
    <mergeCell ref="V31:Y31"/>
    <mergeCell ref="Z31:AC31"/>
    <mergeCell ref="AD31:AE31"/>
    <mergeCell ref="A30:B30"/>
    <mergeCell ref="C30:I30"/>
    <mergeCell ref="J30:L30"/>
    <mergeCell ref="M30:O30"/>
    <mergeCell ref="P30:R30"/>
    <mergeCell ref="S30:U30"/>
    <mergeCell ref="V30:Y30"/>
    <mergeCell ref="A29:B29"/>
    <mergeCell ref="C29:I29"/>
    <mergeCell ref="J29:L29"/>
    <mergeCell ref="M29:O29"/>
    <mergeCell ref="P29:R29"/>
    <mergeCell ref="S29:U29"/>
    <mergeCell ref="S28:U28"/>
    <mergeCell ref="V28:Y28"/>
    <mergeCell ref="Z28:AC28"/>
    <mergeCell ref="AD28:AE28"/>
    <mergeCell ref="Z30:AC30"/>
    <mergeCell ref="AD30:AE30"/>
    <mergeCell ref="V29:Y29"/>
    <mergeCell ref="Z29:AC29"/>
    <mergeCell ref="A27:B27"/>
    <mergeCell ref="C27:I27"/>
    <mergeCell ref="J27:L27"/>
    <mergeCell ref="M27:O27"/>
    <mergeCell ref="AD29:AE29"/>
    <mergeCell ref="A28:B28"/>
    <mergeCell ref="C28:I28"/>
    <mergeCell ref="J28:L28"/>
    <mergeCell ref="M28:O28"/>
    <mergeCell ref="P28:R28"/>
    <mergeCell ref="S26:U26"/>
    <mergeCell ref="V26:Y26"/>
    <mergeCell ref="Z26:AC26"/>
    <mergeCell ref="AD26:AE26"/>
    <mergeCell ref="P27:R27"/>
    <mergeCell ref="S27:U27"/>
    <mergeCell ref="V27:Y27"/>
    <mergeCell ref="Z27:AC27"/>
    <mergeCell ref="A25:B25"/>
    <mergeCell ref="C25:I25"/>
    <mergeCell ref="J25:L25"/>
    <mergeCell ref="M25:O25"/>
    <mergeCell ref="AD27:AE27"/>
    <mergeCell ref="A26:B26"/>
    <mergeCell ref="C26:I26"/>
    <mergeCell ref="J26:L26"/>
    <mergeCell ref="M26:O26"/>
    <mergeCell ref="P26:R26"/>
    <mergeCell ref="S24:U24"/>
    <mergeCell ref="V24:Y24"/>
    <mergeCell ref="Z24:AC24"/>
    <mergeCell ref="AD24:AE24"/>
    <mergeCell ref="P25:R25"/>
    <mergeCell ref="S25:U25"/>
    <mergeCell ref="V25:Y25"/>
    <mergeCell ref="Z25:AC25"/>
    <mergeCell ref="A23:B23"/>
    <mergeCell ref="C23:I23"/>
    <mergeCell ref="J23:L23"/>
    <mergeCell ref="M23:O23"/>
    <mergeCell ref="AD25:AE25"/>
    <mergeCell ref="A24:B24"/>
    <mergeCell ref="C24:I24"/>
    <mergeCell ref="J24:L24"/>
    <mergeCell ref="M24:O24"/>
    <mergeCell ref="P24:R24"/>
    <mergeCell ref="B16:AE16"/>
    <mergeCell ref="B17:AE17"/>
    <mergeCell ref="B18:AE18"/>
    <mergeCell ref="A19:AE19"/>
    <mergeCell ref="S20:AC20"/>
    <mergeCell ref="A20:B22"/>
    <mergeCell ref="C20:I22"/>
    <mergeCell ref="J20:L22"/>
    <mergeCell ref="M20:O22"/>
    <mergeCell ref="P20:R22"/>
    <mergeCell ref="AD20:AE22"/>
    <mergeCell ref="S21:U22"/>
    <mergeCell ref="V21:Y22"/>
    <mergeCell ref="Z21:AC22"/>
    <mergeCell ref="AD23:AE23"/>
    <mergeCell ref="P23:R23"/>
    <mergeCell ref="S23:U23"/>
    <mergeCell ref="V23:Y23"/>
    <mergeCell ref="Z23:AC23"/>
    <mergeCell ref="A10:AE10"/>
    <mergeCell ref="A11:AE11"/>
    <mergeCell ref="A12:AE13"/>
    <mergeCell ref="B14:AE14"/>
    <mergeCell ref="A5:AE5"/>
    <mergeCell ref="A6:AE6"/>
    <mergeCell ref="A7:AE7"/>
    <mergeCell ref="A9:AE9"/>
    <mergeCell ref="B15:AE15"/>
    <mergeCell ref="P1:U1"/>
    <mergeCell ref="V1:AE1"/>
    <mergeCell ref="B2:J2"/>
    <mergeCell ref="P2:U2"/>
    <mergeCell ref="V2:AE2"/>
    <mergeCell ref="P3:U3"/>
    <mergeCell ref="V3:AE3"/>
    <mergeCell ref="P4:Y4"/>
    <mergeCell ref="Z4:AE4"/>
  </mergeCells>
  <phoneticPr fontId="0" type="noConversion"/>
  <pageMargins left="0.39374999999999999" right="0.19652800000000001" top="0.57013899999999995" bottom="0.42013899999999998" header="0.370139" footer="0.19652800000000001"/>
  <pageSetup paperSize="9" fitToWidth="0" fitToHeight="3" orientation="landscape"/>
  <headerFooter>
    <oddFooter>&amp;C&amp;A стр.&amp;P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Q47"/>
  <sheetViews>
    <sheetView zoomScale="85" workbookViewId="0">
      <selection activeCell="AR22" sqref="AR22"/>
    </sheetView>
  </sheetViews>
  <sheetFormatPr defaultRowHeight="12.75"/>
  <cols>
    <col min="1" max="1" width="4.85546875" customWidth="1"/>
    <col min="2" max="2" width="2.140625" customWidth="1"/>
    <col min="3" max="3" width="5" customWidth="1"/>
    <col min="4" max="4" width="4.140625" customWidth="1"/>
    <col min="5" max="5" width="3" customWidth="1"/>
    <col min="6" max="6" width="2.5703125" customWidth="1"/>
    <col min="7" max="7" width="1.42578125" customWidth="1"/>
    <col min="8" max="8" width="2.7109375" customWidth="1"/>
    <col min="9" max="9" width="3.140625" customWidth="1"/>
    <col min="10" max="10" width="3.5703125" customWidth="1"/>
    <col min="11" max="11" width="4.42578125" customWidth="1"/>
    <col min="12" max="12" width="6" customWidth="1"/>
    <col min="13" max="13" width="4.28515625" customWidth="1"/>
    <col min="14" max="14" width="10.28515625" customWidth="1"/>
    <col min="15" max="15" width="10" customWidth="1"/>
    <col min="16" max="16" width="9.28515625" customWidth="1"/>
    <col min="17" max="17" width="1.28515625" customWidth="1"/>
    <col min="18" max="18" width="3.42578125" customWidth="1"/>
    <col min="19" max="19" width="4" customWidth="1"/>
    <col min="20" max="20" width="1.42578125" customWidth="1"/>
    <col min="21" max="22" width="1.85546875" customWidth="1"/>
    <col min="23" max="23" width="2.7109375" customWidth="1"/>
    <col min="24" max="24" width="4.28515625" customWidth="1"/>
    <col min="25" max="25" width="3.28515625" customWidth="1"/>
    <col min="26" max="26" width="3.5703125" customWidth="1"/>
    <col min="27" max="27" width="4.85546875" customWidth="1"/>
    <col min="28" max="28" width="2.28515625" customWidth="1"/>
    <col min="29" max="29" width="1.85546875" customWidth="1"/>
    <col min="30" max="30" width="2.7109375" customWidth="1"/>
    <col min="31" max="31" width="0.7109375" customWidth="1"/>
    <col min="32" max="32" width="1.7109375" customWidth="1"/>
    <col min="33" max="33" width="7.42578125" customWidth="1"/>
    <col min="34" max="34" width="3" customWidth="1"/>
    <col min="35" max="35" width="2.85546875" customWidth="1"/>
    <col min="36" max="36" width="3.28515625" customWidth="1"/>
    <col min="37" max="37" width="2.7109375" customWidth="1"/>
    <col min="38" max="38" width="2.42578125" customWidth="1"/>
    <col min="39" max="39" width="3.140625" customWidth="1"/>
    <col min="40" max="41" width="2.7109375" customWidth="1"/>
  </cols>
  <sheetData>
    <row r="1" spans="1:39" ht="15" customHeight="1">
      <c r="A1" s="70"/>
      <c r="B1" s="9" t="str">
        <f ca="1">'Исходник '!B3</f>
        <v>ООО «ТМ-Электро»</v>
      </c>
      <c r="P1" s="10"/>
      <c r="Q1" s="10"/>
      <c r="R1" s="2"/>
      <c r="S1" s="2"/>
      <c r="T1" s="10" t="s">
        <v>489</v>
      </c>
      <c r="U1" s="2"/>
      <c r="V1" s="2"/>
      <c r="W1" s="24"/>
      <c r="X1" s="24"/>
      <c r="Y1" s="514">
        <f ca="1">'Исходник '!B19</f>
        <v>0</v>
      </c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</row>
    <row r="2" spans="1:39" s="55" customFormat="1" ht="15" customHeight="1">
      <c r="A2" s="66"/>
      <c r="B2" s="504" t="s">
        <v>632</v>
      </c>
      <c r="C2" s="516"/>
      <c r="D2" s="516"/>
      <c r="E2" s="516"/>
      <c r="F2" s="516"/>
      <c r="G2" s="516"/>
      <c r="H2" s="516"/>
      <c r="I2" s="516"/>
      <c r="J2" s="298"/>
      <c r="K2" s="36"/>
      <c r="L2" s="36"/>
      <c r="M2" s="36"/>
      <c r="N2" s="36"/>
      <c r="O2" s="36"/>
      <c r="P2" s="262"/>
      <c r="Q2" s="100"/>
      <c r="T2" s="10" t="s">
        <v>491</v>
      </c>
      <c r="U2"/>
      <c r="V2"/>
      <c r="W2" s="6"/>
      <c r="X2"/>
      <c r="Y2" s="443" t="str">
        <f ca="1">'Исходник '!B20</f>
        <v>Фитнес-клуб</v>
      </c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</row>
    <row r="3" spans="1:39" ht="17.25" customHeight="1">
      <c r="A3" s="9"/>
      <c r="B3" s="2" t="str">
        <f ca="1">CONCATENATE('Исходник '!A5," ",'Исходник '!B5)</f>
        <v>Свидетельство о регистрации № 6231-2</v>
      </c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0"/>
      <c r="Q3" s="2"/>
      <c r="T3" s="262" t="s">
        <v>494</v>
      </c>
      <c r="Y3" s="100">
        <f ca="1">'Исходник '!B21</f>
        <v>0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17.25" customHeight="1">
      <c r="A4" s="70"/>
      <c r="B4" s="2" t="str">
        <f ca="1">CONCATENATE('Исходник '!A7," ",'Исходник '!B7)</f>
        <v xml:space="preserve">Действительно до «11» января 2022 г. </v>
      </c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  <c r="O4" s="3"/>
      <c r="P4" s="10"/>
      <c r="T4" s="10" t="s">
        <v>514</v>
      </c>
      <c r="Y4" s="2"/>
      <c r="Z4" s="2"/>
      <c r="AA4" s="2"/>
      <c r="AB4" s="2"/>
      <c r="AC4" s="2"/>
      <c r="AD4" s="2"/>
      <c r="AE4" s="659" t="str">
        <f ca="1">'Исходник '!B34</f>
        <v>29 января 2020г.</v>
      </c>
      <c r="AF4" s="444"/>
      <c r="AG4" s="444"/>
      <c r="AH4" s="444"/>
      <c r="AI4" s="444"/>
      <c r="AJ4" s="444"/>
      <c r="AK4" s="444"/>
      <c r="AL4" s="444"/>
      <c r="AM4" s="444"/>
    </row>
    <row r="5" spans="1:39" ht="15" customHeight="1">
      <c r="A5" s="651" t="str">
        <f ca="1">CONCATENATE('Исходник '!A16," ",'Исходник '!F13)</f>
        <v>Протокол  №505-8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5"/>
      <c r="AI5" s="655"/>
      <c r="AJ5" s="655"/>
      <c r="AK5" s="655"/>
      <c r="AL5" s="655"/>
      <c r="AM5" s="655"/>
    </row>
    <row r="6" spans="1:39" ht="20.25" customHeight="1">
      <c r="A6" s="660" t="s">
        <v>98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55"/>
      <c r="AI6" s="655"/>
      <c r="AJ6" s="655"/>
      <c r="AK6" s="655"/>
      <c r="AL6" s="655"/>
      <c r="AM6" s="655"/>
    </row>
    <row r="7" spans="1:39" ht="15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444"/>
      <c r="AI7" s="444"/>
      <c r="AJ7" s="444"/>
      <c r="AK7" s="444"/>
      <c r="AL7" s="444"/>
      <c r="AM7" s="444"/>
    </row>
    <row r="8" spans="1:39" ht="15" customHeight="1">
      <c r="A8" s="7"/>
      <c r="B8" s="726" t="str">
        <f ca="1">'Исходник '!A36</f>
        <v>Температура воздуха:</v>
      </c>
      <c r="C8" s="728"/>
      <c r="D8" s="728"/>
      <c r="E8" s="728"/>
      <c r="F8" s="728"/>
      <c r="G8" s="728"/>
      <c r="H8" s="728"/>
      <c r="I8" s="653">
        <f ca="1">'Исходник '!B36</f>
        <v>21</v>
      </c>
      <c r="J8" s="444"/>
      <c r="K8" s="7" t="s">
        <v>521</v>
      </c>
      <c r="L8" s="270"/>
      <c r="M8" s="18"/>
      <c r="N8" s="726" t="str">
        <f ca="1">'Исходник '!A37</f>
        <v>Влажность воздуха:</v>
      </c>
      <c r="O8" s="779"/>
      <c r="P8" s="779"/>
      <c r="Q8" s="653">
        <f ca="1">'Исходник '!B37</f>
        <v>58</v>
      </c>
      <c r="R8" s="653"/>
      <c r="S8" s="12" t="s">
        <v>523</v>
      </c>
      <c r="T8" s="12"/>
      <c r="U8" s="726" t="str">
        <f ca="1">'Исходник '!A38</f>
        <v>Атмосферное давление:</v>
      </c>
      <c r="V8" s="728"/>
      <c r="W8" s="728"/>
      <c r="X8" s="728"/>
      <c r="Y8" s="728"/>
      <c r="Z8" s="728"/>
      <c r="AA8" s="728"/>
      <c r="AB8" s="728"/>
      <c r="AC8" s="653">
        <f ca="1">'Исходник '!B38</f>
        <v>741</v>
      </c>
      <c r="AD8" s="653"/>
      <c r="AE8" s="653"/>
      <c r="AF8" s="653"/>
      <c r="AG8" s="779" t="str">
        <f ca="1">'Исходник '!C38</f>
        <v xml:space="preserve"> мм.рт.ст.</v>
      </c>
      <c r="AH8" s="444"/>
    </row>
    <row r="9" spans="1:39" ht="15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444"/>
      <c r="AI9" s="444"/>
      <c r="AJ9" s="444"/>
      <c r="AK9" s="444"/>
      <c r="AL9" s="444"/>
      <c r="AM9" s="444"/>
    </row>
    <row r="10" spans="1:39" ht="17.25" customHeight="1">
      <c r="A10" s="730" t="str">
        <f ca="1">'Исходник '!B23</f>
        <v>эксплуатационные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82"/>
      <c r="AI10" s="782"/>
      <c r="AJ10" s="782"/>
      <c r="AK10" s="782"/>
      <c r="AL10" s="782"/>
      <c r="AM10" s="782"/>
    </row>
    <row r="11" spans="1:39" s="55" customFormat="1" ht="15" customHeight="1">
      <c r="A11" s="715" t="s">
        <v>802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83"/>
      <c r="AI11" s="783"/>
      <c r="AJ11" s="783"/>
      <c r="AK11" s="783"/>
      <c r="AL11" s="783"/>
      <c r="AM11" s="783"/>
    </row>
    <row r="12" spans="1:39" ht="15" customHeight="1">
      <c r="A12" s="596" t="s">
        <v>99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54"/>
      <c r="AI12" s="554"/>
      <c r="AJ12" s="554"/>
      <c r="AK12" s="554"/>
      <c r="AL12" s="554"/>
      <c r="AM12" s="554"/>
    </row>
    <row r="13" spans="1:39" ht="15" customHeight="1">
      <c r="A13" s="51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54"/>
      <c r="AI13" s="554"/>
      <c r="AJ13" s="554"/>
      <c r="AK13" s="554"/>
      <c r="AL13" s="554"/>
      <c r="AM13" s="554"/>
    </row>
    <row r="14" spans="1:39" s="55" customFormat="1" ht="18.75" customHeight="1">
      <c r="A14" s="324"/>
      <c r="B14" s="553" t="s">
        <v>100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554"/>
      <c r="AI14" s="554"/>
      <c r="AJ14" s="554"/>
      <c r="AK14" s="554"/>
      <c r="AL14" s="554"/>
      <c r="AM14" s="554"/>
    </row>
    <row r="15" spans="1:39" s="55" customFormat="1" ht="18.75" customHeight="1">
      <c r="A15" s="323"/>
      <c r="B15" s="553" t="s">
        <v>101</v>
      </c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554"/>
      <c r="AI15" s="554"/>
      <c r="AJ15" s="554"/>
      <c r="AK15" s="554"/>
      <c r="AL15" s="554"/>
      <c r="AM15" s="554"/>
    </row>
    <row r="16" spans="1:39" s="55" customFormat="1" ht="13.5" customHeight="1">
      <c r="A16" s="323"/>
      <c r="B16" s="649" t="s">
        <v>102</v>
      </c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516"/>
      <c r="AI16" s="516"/>
      <c r="AJ16" s="516"/>
      <c r="AK16" s="516"/>
      <c r="AL16" s="516"/>
      <c r="AM16" s="516"/>
    </row>
    <row r="17" spans="1:40" ht="18" customHeight="1">
      <c r="A17" s="9"/>
      <c r="B17" s="659" t="s">
        <v>103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444"/>
      <c r="AI17" s="444"/>
      <c r="AJ17" s="444"/>
      <c r="AK17" s="444"/>
      <c r="AL17" s="444"/>
      <c r="AM17" s="444"/>
    </row>
    <row r="18" spans="1:40" s="55" customFormat="1" ht="10.5" customHeight="1">
      <c r="A18" s="323"/>
      <c r="B18" s="649" t="s">
        <v>104</v>
      </c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0"/>
      <c r="AA18" s="780"/>
      <c r="AB18" s="780"/>
      <c r="AC18" s="780"/>
      <c r="AD18" s="780"/>
      <c r="AE18" s="780"/>
      <c r="AF18" s="780"/>
      <c r="AG18" s="780"/>
      <c r="AH18" s="516"/>
      <c r="AI18" s="516"/>
      <c r="AJ18" s="516"/>
      <c r="AK18" s="516"/>
      <c r="AL18" s="516"/>
      <c r="AM18" s="516"/>
    </row>
    <row r="19" spans="1:40" ht="15.75" customHeight="1">
      <c r="A19" s="70"/>
      <c r="B19" s="659" t="s">
        <v>105</v>
      </c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444"/>
      <c r="AI19" s="444"/>
      <c r="AJ19" s="444"/>
      <c r="AK19" s="444"/>
      <c r="AL19" s="444"/>
      <c r="AM19" s="444"/>
    </row>
    <row r="20" spans="1:40" s="55" customFormat="1" ht="10.5" customHeight="1">
      <c r="A20" s="323"/>
      <c r="B20" s="649" t="s">
        <v>106</v>
      </c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516"/>
      <c r="AI20" s="516"/>
      <c r="AJ20" s="516"/>
      <c r="AK20" s="516"/>
      <c r="AL20" s="516"/>
      <c r="AM20" s="516"/>
    </row>
    <row r="21" spans="1:40" ht="18" customHeight="1">
      <c r="A21" s="796" t="s">
        <v>804</v>
      </c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654"/>
      <c r="AI21" s="654"/>
      <c r="AJ21" s="654"/>
      <c r="AK21" s="654"/>
      <c r="AL21" s="654"/>
      <c r="AM21" s="654"/>
    </row>
    <row r="22" spans="1:40" s="2" customFormat="1" ht="30.75" customHeight="1">
      <c r="A22" s="679" t="s">
        <v>540</v>
      </c>
      <c r="B22" s="679"/>
      <c r="C22" s="679" t="s">
        <v>107</v>
      </c>
      <c r="D22" s="679"/>
      <c r="E22" s="679"/>
      <c r="F22" s="679"/>
      <c r="G22" s="679"/>
      <c r="H22" s="679"/>
      <c r="I22" s="679"/>
      <c r="J22" s="453" t="s">
        <v>108</v>
      </c>
      <c r="K22" s="680"/>
      <c r="L22" s="680"/>
      <c r="M22" s="486"/>
      <c r="N22" s="679" t="s">
        <v>109</v>
      </c>
      <c r="O22" s="679" t="s">
        <v>110</v>
      </c>
      <c r="P22" s="797"/>
      <c r="Q22" s="458" t="s">
        <v>111</v>
      </c>
      <c r="R22" s="458"/>
      <c r="S22" s="679"/>
      <c r="T22" s="679"/>
      <c r="U22" s="453" t="s">
        <v>112</v>
      </c>
      <c r="V22" s="680"/>
      <c r="W22" s="625"/>
      <c r="X22" s="486"/>
      <c r="Y22" s="453" t="s">
        <v>113</v>
      </c>
      <c r="Z22" s="680"/>
      <c r="AA22" s="625"/>
      <c r="AB22" s="625"/>
      <c r="AC22" s="625"/>
      <c r="AD22" s="625"/>
      <c r="AE22" s="625"/>
      <c r="AF22" s="625"/>
      <c r="AG22" s="625"/>
      <c r="AH22" s="784" t="s">
        <v>114</v>
      </c>
      <c r="AI22" s="785"/>
      <c r="AJ22" s="785"/>
      <c r="AK22" s="785"/>
      <c r="AL22" s="785"/>
      <c r="AM22" s="786"/>
    </row>
    <row r="23" spans="1:40" s="2" customFormat="1" ht="6" customHeight="1">
      <c r="A23" s="679"/>
      <c r="B23" s="679"/>
      <c r="C23" s="679"/>
      <c r="D23" s="679"/>
      <c r="E23" s="679"/>
      <c r="F23" s="679"/>
      <c r="G23" s="679"/>
      <c r="H23" s="679"/>
      <c r="I23" s="679"/>
      <c r="J23" s="479"/>
      <c r="K23" s="798"/>
      <c r="L23" s="798"/>
      <c r="M23" s="627"/>
      <c r="N23" s="797"/>
      <c r="O23" s="797"/>
      <c r="P23" s="797"/>
      <c r="Q23" s="458"/>
      <c r="R23" s="458"/>
      <c r="S23" s="679"/>
      <c r="T23" s="679"/>
      <c r="U23" s="626"/>
      <c r="V23" s="556"/>
      <c r="W23" s="556"/>
      <c r="X23" s="627"/>
      <c r="Y23" s="455"/>
      <c r="Z23" s="681"/>
      <c r="AA23" s="628"/>
      <c r="AB23" s="628"/>
      <c r="AC23" s="628"/>
      <c r="AD23" s="628"/>
      <c r="AE23" s="628"/>
      <c r="AF23" s="628"/>
      <c r="AG23" s="628"/>
      <c r="AH23" s="787"/>
      <c r="AI23" s="788"/>
      <c r="AJ23" s="788"/>
      <c r="AK23" s="788"/>
      <c r="AL23" s="788"/>
      <c r="AM23" s="789"/>
    </row>
    <row r="24" spans="1:40" s="2" customFormat="1" ht="29.25" customHeight="1">
      <c r="A24" s="679"/>
      <c r="B24" s="679"/>
      <c r="C24" s="679"/>
      <c r="D24" s="679"/>
      <c r="E24" s="679"/>
      <c r="F24" s="679"/>
      <c r="G24" s="679"/>
      <c r="H24" s="679"/>
      <c r="I24" s="679"/>
      <c r="J24" s="455"/>
      <c r="K24" s="681"/>
      <c r="L24" s="681"/>
      <c r="M24" s="482"/>
      <c r="N24" s="797"/>
      <c r="O24" s="56" t="s">
        <v>115</v>
      </c>
      <c r="P24" s="56" t="s">
        <v>116</v>
      </c>
      <c r="Q24" s="458"/>
      <c r="R24" s="458"/>
      <c r="S24" s="679"/>
      <c r="T24" s="679"/>
      <c r="U24" s="481"/>
      <c r="V24" s="628"/>
      <c r="W24" s="628"/>
      <c r="X24" s="482"/>
      <c r="Y24" s="457" t="s">
        <v>82</v>
      </c>
      <c r="Z24" s="458"/>
      <c r="AA24" s="457" t="s">
        <v>83</v>
      </c>
      <c r="AB24" s="458"/>
      <c r="AC24" s="457" t="s">
        <v>81</v>
      </c>
      <c r="AD24" s="459"/>
      <c r="AE24" s="459"/>
      <c r="AF24" s="458"/>
      <c r="AG24" s="322" t="s">
        <v>84</v>
      </c>
      <c r="AH24" s="790"/>
      <c r="AI24" s="791"/>
      <c r="AJ24" s="791"/>
      <c r="AK24" s="791"/>
      <c r="AL24" s="791"/>
      <c r="AM24" s="792"/>
    </row>
    <row r="25" spans="1:40" ht="18" customHeight="1">
      <c r="A25" s="803">
        <v>1</v>
      </c>
      <c r="B25" s="803"/>
      <c r="C25" s="803">
        <v>2</v>
      </c>
      <c r="D25" s="803"/>
      <c r="E25" s="803"/>
      <c r="F25" s="803"/>
      <c r="G25" s="803"/>
      <c r="H25" s="803"/>
      <c r="I25" s="803"/>
      <c r="J25" s="793">
        <v>3</v>
      </c>
      <c r="K25" s="794"/>
      <c r="L25" s="794"/>
      <c r="M25" s="464"/>
      <c r="N25" s="203">
        <v>4</v>
      </c>
      <c r="O25" s="203">
        <v>5</v>
      </c>
      <c r="P25" s="203">
        <v>6</v>
      </c>
      <c r="Q25" s="803">
        <v>7</v>
      </c>
      <c r="R25" s="803"/>
      <c r="S25" s="803"/>
      <c r="T25" s="803"/>
      <c r="U25" s="803">
        <v>8</v>
      </c>
      <c r="V25" s="803"/>
      <c r="W25" s="803"/>
      <c r="X25" s="803"/>
      <c r="Y25" s="793">
        <v>9</v>
      </c>
      <c r="Z25" s="795"/>
      <c r="AA25" s="793">
        <v>10</v>
      </c>
      <c r="AB25" s="464"/>
      <c r="AC25" s="793">
        <v>11</v>
      </c>
      <c r="AD25" s="794"/>
      <c r="AE25" s="794"/>
      <c r="AF25" s="464"/>
      <c r="AG25" s="326">
        <v>12</v>
      </c>
      <c r="AH25" s="793">
        <v>13</v>
      </c>
      <c r="AI25" s="794"/>
      <c r="AJ25" s="794"/>
      <c r="AK25" s="794"/>
      <c r="AL25" s="794"/>
      <c r="AM25" s="795"/>
    </row>
    <row r="26" spans="1:40" s="138" customFormat="1" ht="51.75" customHeight="1">
      <c r="A26" s="611">
        <v>1</v>
      </c>
      <c r="B26" s="611"/>
      <c r="C26" s="622" t="s">
        <v>117</v>
      </c>
      <c r="D26" s="623"/>
      <c r="E26" s="623"/>
      <c r="F26" s="623"/>
      <c r="G26" s="623"/>
      <c r="H26" s="623"/>
      <c r="I26" s="624"/>
      <c r="J26" s="622">
        <v>44</v>
      </c>
      <c r="K26" s="623"/>
      <c r="L26" s="623"/>
      <c r="M26" s="464"/>
      <c r="N26" s="166" t="s">
        <v>118</v>
      </c>
      <c r="O26" s="56" t="s">
        <v>119</v>
      </c>
      <c r="P26" s="166" t="s">
        <v>120</v>
      </c>
      <c r="Q26" s="611" t="s">
        <v>121</v>
      </c>
      <c r="R26" s="611"/>
      <c r="S26" s="611"/>
      <c r="T26" s="611"/>
      <c r="U26" s="611" t="s">
        <v>122</v>
      </c>
      <c r="V26" s="611"/>
      <c r="W26" s="611"/>
      <c r="X26" s="611"/>
      <c r="Y26" s="622">
        <v>4</v>
      </c>
      <c r="Z26" s="624"/>
      <c r="AA26" s="622">
        <v>0.63</v>
      </c>
      <c r="AB26" s="799"/>
      <c r="AC26" s="622">
        <v>1.6</v>
      </c>
      <c r="AD26" s="623"/>
      <c r="AE26" s="623"/>
      <c r="AF26" s="799"/>
      <c r="AG26" s="327">
        <f>AA26*AC26</f>
        <v>1.008</v>
      </c>
      <c r="AH26" s="800" t="s">
        <v>123</v>
      </c>
      <c r="AI26" s="801"/>
      <c r="AJ26" s="801"/>
      <c r="AK26" s="801"/>
      <c r="AL26" s="801"/>
      <c r="AM26" s="802"/>
    </row>
    <row r="27" spans="1:40" ht="18" customHeight="1">
      <c r="A27" s="770"/>
      <c r="B27" s="770"/>
      <c r="C27" s="770"/>
      <c r="D27" s="770"/>
      <c r="E27" s="770"/>
      <c r="F27" s="770"/>
      <c r="G27" s="770"/>
      <c r="H27" s="770"/>
      <c r="I27" s="770"/>
      <c r="J27" s="771"/>
      <c r="K27" s="772"/>
      <c r="L27" s="772"/>
      <c r="M27" s="464"/>
      <c r="N27" s="325"/>
      <c r="O27" s="325"/>
      <c r="P27" s="325"/>
      <c r="Q27" s="770"/>
      <c r="R27" s="770"/>
      <c r="S27" s="770"/>
      <c r="T27" s="770"/>
      <c r="U27" s="770"/>
      <c r="V27" s="770"/>
      <c r="W27" s="770"/>
      <c r="X27" s="770"/>
      <c r="Y27" s="771"/>
      <c r="Z27" s="804"/>
      <c r="AA27" s="771"/>
      <c r="AB27" s="804"/>
      <c r="AC27" s="771"/>
      <c r="AD27" s="772"/>
      <c r="AE27" s="772"/>
      <c r="AF27" s="804"/>
      <c r="AG27" s="325"/>
      <c r="AH27" s="437"/>
      <c r="AI27" s="437"/>
      <c r="AJ27" s="437"/>
      <c r="AK27" s="437"/>
      <c r="AL27" s="437"/>
      <c r="AM27" s="437"/>
    </row>
    <row r="28" spans="1:40" ht="15.75">
      <c r="A28" s="696" t="s">
        <v>841</v>
      </c>
      <c r="B28" s="696"/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</row>
    <row r="29" spans="1:40" s="204" customFormat="1" ht="30" customHeight="1">
      <c r="A29" s="679" t="s">
        <v>540</v>
      </c>
      <c r="B29" s="679" t="s">
        <v>541</v>
      </c>
      <c r="C29" s="679"/>
      <c r="D29" s="679"/>
      <c r="E29" s="679"/>
      <c r="F29" s="679"/>
      <c r="G29" s="679"/>
      <c r="H29" s="679" t="s">
        <v>542</v>
      </c>
      <c r="I29" s="679"/>
      <c r="J29" s="679"/>
      <c r="K29" s="679"/>
      <c r="L29" s="679" t="s">
        <v>544</v>
      </c>
      <c r="M29" s="679"/>
      <c r="N29" s="679"/>
      <c r="O29" s="679"/>
      <c r="P29" s="679"/>
      <c r="Q29" s="679"/>
      <c r="R29" s="457" t="s">
        <v>545</v>
      </c>
      <c r="S29" s="459"/>
      <c r="T29" s="459"/>
      <c r="U29" s="459"/>
      <c r="V29" s="459"/>
      <c r="W29" s="459"/>
      <c r="X29" s="459"/>
      <c r="Y29" s="459"/>
      <c r="Z29" s="458"/>
      <c r="AA29" s="453" t="s">
        <v>546</v>
      </c>
      <c r="AB29" s="805"/>
      <c r="AC29" s="680"/>
      <c r="AD29" s="680"/>
      <c r="AE29" s="680"/>
      <c r="AF29" s="454"/>
      <c r="AG29" s="453" t="s">
        <v>912</v>
      </c>
      <c r="AH29" s="680"/>
      <c r="AI29" s="680"/>
      <c r="AJ29" s="680"/>
      <c r="AK29" s="680"/>
      <c r="AL29" s="680"/>
      <c r="AM29" s="454"/>
      <c r="AN29" s="7"/>
    </row>
    <row r="30" spans="1:40" s="204" customFormat="1" ht="24" customHeight="1">
      <c r="A30" s="679"/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457" t="s">
        <v>548</v>
      </c>
      <c r="M30" s="459"/>
      <c r="N30" s="458"/>
      <c r="O30" s="679" t="s">
        <v>549</v>
      </c>
      <c r="P30" s="679"/>
      <c r="Q30" s="679"/>
      <c r="R30" s="457" t="s">
        <v>550</v>
      </c>
      <c r="S30" s="459"/>
      <c r="T30" s="459"/>
      <c r="U30" s="459"/>
      <c r="V30" s="458"/>
      <c r="W30" s="457" t="s">
        <v>551</v>
      </c>
      <c r="X30" s="459"/>
      <c r="Y30" s="459"/>
      <c r="Z30" s="458"/>
      <c r="AA30" s="455"/>
      <c r="AB30" s="681"/>
      <c r="AC30" s="681"/>
      <c r="AD30" s="681"/>
      <c r="AE30" s="681"/>
      <c r="AF30" s="456"/>
      <c r="AG30" s="455"/>
      <c r="AH30" s="681"/>
      <c r="AI30" s="681"/>
      <c r="AJ30" s="681"/>
      <c r="AK30" s="681"/>
      <c r="AL30" s="681"/>
      <c r="AM30" s="456"/>
      <c r="AN30" s="7"/>
    </row>
    <row r="31" spans="1:40" s="204" customFormat="1" ht="31.5" customHeight="1">
      <c r="A31" s="56">
        <v>1</v>
      </c>
      <c r="B31" s="679" t="str">
        <f ca="1">'Исходник '!B56</f>
        <v>MPI-520</v>
      </c>
      <c r="C31" s="679"/>
      <c r="D31" s="679"/>
      <c r="E31" s="679"/>
      <c r="F31" s="679"/>
      <c r="G31" s="679"/>
      <c r="H31" s="679">
        <f ca="1">'Исходник '!C56</f>
        <v>723895</v>
      </c>
      <c r="I31" s="679"/>
      <c r="J31" s="679"/>
      <c r="K31" s="679"/>
      <c r="L31" s="457" t="str">
        <f ca="1">'Исходник '!H56</f>
        <v>± (2% R+3 е.м.р.)</v>
      </c>
      <c r="M31" s="807"/>
      <c r="N31" s="808"/>
      <c r="O31" s="487" t="str">
        <f ca="1">'Исходник '!H56</f>
        <v>± (2% R+3 е.м.р.)</v>
      </c>
      <c r="P31" s="459"/>
      <c r="Q31" s="458"/>
      <c r="R31" s="762">
        <f ca="1">'Исходник '!J56</f>
        <v>43530</v>
      </c>
      <c r="S31" s="679"/>
      <c r="T31" s="679"/>
      <c r="U31" s="679"/>
      <c r="V31" s="679"/>
      <c r="W31" s="487">
        <f ca="1">'Исходник '!L56</f>
        <v>43895</v>
      </c>
      <c r="X31" s="806"/>
      <c r="Y31" s="678"/>
      <c r="Z31" s="488"/>
      <c r="AA31" s="457" t="str">
        <f ca="1">'Исходник '!N56</f>
        <v>№18182-А</v>
      </c>
      <c r="AB31" s="459"/>
      <c r="AC31" s="459"/>
      <c r="AD31" s="459"/>
      <c r="AE31" s="459"/>
      <c r="AF31" s="458"/>
      <c r="AG31" s="457" t="str">
        <f ca="1">'Исходник '!P56</f>
        <v>ООО "СОНЕЛ"</v>
      </c>
      <c r="AH31" s="459"/>
      <c r="AI31" s="459"/>
      <c r="AJ31" s="459"/>
      <c r="AK31" s="459"/>
      <c r="AL31" s="459"/>
      <c r="AM31" s="458"/>
      <c r="AN31" s="7"/>
    </row>
    <row r="32" spans="1:40" s="204" customFormat="1" ht="30" customHeight="1">
      <c r="A32" s="56">
        <v>2</v>
      </c>
      <c r="B32" s="679" t="str">
        <f ca="1">'Исходник '!B61</f>
        <v>ИВТМ-7</v>
      </c>
      <c r="C32" s="679"/>
      <c r="D32" s="679"/>
      <c r="E32" s="679"/>
      <c r="F32" s="679"/>
      <c r="G32" s="679" t="e">
        <v>#REF!</v>
      </c>
      <c r="H32" s="679">
        <f ca="1">'Исходник '!C61</f>
        <v>20084</v>
      </c>
      <c r="I32" s="679"/>
      <c r="J32" s="679"/>
      <c r="K32" s="679" t="e">
        <v>#REF!</v>
      </c>
      <c r="L32" s="457" t="str">
        <f ca="1">'Исходник '!F61</f>
        <v>0-99 %
-20 +60 0С</v>
      </c>
      <c r="M32" s="807"/>
      <c r="N32" s="808"/>
      <c r="O32" s="487" t="str">
        <f ca="1">'Исходник '!H61</f>
        <v>± 2%
± 0,2 0С</v>
      </c>
      <c r="P32" s="459"/>
      <c r="Q32" s="458" t="e">
        <v>#REF!</v>
      </c>
      <c r="R32" s="762">
        <f ca="1">'Исходник '!J61</f>
        <v>43517</v>
      </c>
      <c r="S32" s="679"/>
      <c r="T32" s="679"/>
      <c r="U32" s="679"/>
      <c r="V32" s="679"/>
      <c r="W32" s="487" t="str">
        <f ca="1">'Исходник '!L61</f>
        <v>21.02.2020.</v>
      </c>
      <c r="X32" s="806"/>
      <c r="Y32" s="678"/>
      <c r="Z32" s="488"/>
      <c r="AA32" s="457" t="str">
        <f ca="1">'Исходник '!N61</f>
        <v>№197</v>
      </c>
      <c r="AB32" s="459"/>
      <c r="AC32" s="459"/>
      <c r="AD32" s="459"/>
      <c r="AE32" s="459"/>
      <c r="AF32" s="458"/>
      <c r="AG32" s="457" t="str">
        <f ca="1">'Исходник '!P61</f>
        <v>ООО НПК "АВИАПРИБОР"</v>
      </c>
      <c r="AH32" s="459"/>
      <c r="AI32" s="459"/>
      <c r="AJ32" s="459"/>
      <c r="AK32" s="459"/>
      <c r="AL32" s="459"/>
      <c r="AM32" s="458"/>
      <c r="AN32" s="7"/>
    </row>
    <row r="33" spans="1:43" s="204" customFormat="1" ht="29.25" customHeight="1">
      <c r="A33" s="56">
        <v>3</v>
      </c>
      <c r="B33" s="679" t="str">
        <f ca="1">'Исходник '!B62</f>
        <v>Барометр М 67</v>
      </c>
      <c r="C33" s="679"/>
      <c r="D33" s="679"/>
      <c r="E33" s="679"/>
      <c r="F33" s="679"/>
      <c r="G33" s="679" t="e">
        <v>#REF!</v>
      </c>
      <c r="H33" s="679">
        <f ca="1">'Исходник '!C62</f>
        <v>74</v>
      </c>
      <c r="I33" s="679"/>
      <c r="J33" s="679"/>
      <c r="K33" s="679" t="e">
        <v>#REF!</v>
      </c>
      <c r="L33" s="457" t="str">
        <f ca="1">'Исходник '!F62</f>
        <v>610-790
 мм.рт.ст</v>
      </c>
      <c r="M33" s="807"/>
      <c r="N33" s="808"/>
      <c r="O33" s="487" t="str">
        <f ca="1">'Исходник '!H62</f>
        <v>± 0,8 мм.рт.ст.</v>
      </c>
      <c r="P33" s="459"/>
      <c r="Q33" s="458" t="e">
        <v>#REF!</v>
      </c>
      <c r="R33" s="762">
        <f ca="1">'Исходник '!J62</f>
        <v>43517</v>
      </c>
      <c r="S33" s="679"/>
      <c r="T33" s="679"/>
      <c r="U33" s="679"/>
      <c r="V33" s="679"/>
      <c r="W33" s="487" t="str">
        <f ca="1">'Исходник '!L62</f>
        <v>21.02.2020.</v>
      </c>
      <c r="X33" s="806"/>
      <c r="Y33" s="678"/>
      <c r="Z33" s="488"/>
      <c r="AA33" s="457" t="str">
        <f ca="1">'Исходник '!N62</f>
        <v>№200</v>
      </c>
      <c r="AB33" s="459"/>
      <c r="AC33" s="459"/>
      <c r="AD33" s="459"/>
      <c r="AE33" s="459"/>
      <c r="AF33" s="458"/>
      <c r="AG33" s="457" t="str">
        <f ca="1">'Исходник '!P62</f>
        <v>ООО НПК "АВИАПРИБОР"</v>
      </c>
      <c r="AH33" s="459"/>
      <c r="AI33" s="459"/>
      <c r="AJ33" s="459"/>
      <c r="AK33" s="459"/>
      <c r="AL33" s="459"/>
      <c r="AM33" s="458"/>
      <c r="AN33" s="7"/>
    </row>
    <row r="34" spans="1:43" ht="9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33"/>
      <c r="R34" s="133"/>
      <c r="S34" s="133"/>
      <c r="T34" s="133"/>
      <c r="U34" s="133"/>
      <c r="V34" s="133"/>
      <c r="W34" s="133"/>
      <c r="X34" s="133"/>
      <c r="Y34" s="38"/>
      <c r="Z34" s="38"/>
      <c r="AA34" s="38"/>
      <c r="AB34" s="38"/>
      <c r="AC34" s="38"/>
      <c r="AD34" s="38"/>
      <c r="AE34" s="38"/>
      <c r="AF34" s="38"/>
      <c r="AG34" s="38"/>
      <c r="AL34" s="4"/>
    </row>
    <row r="35" spans="1:43" ht="15.75" customHeight="1">
      <c r="A35" s="809" t="s">
        <v>90</v>
      </c>
      <c r="B35" s="809"/>
      <c r="C35" s="809"/>
      <c r="D35" s="809"/>
      <c r="E35" s="809"/>
      <c r="F35" s="809"/>
      <c r="G35" s="444"/>
      <c r="H35" s="810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L35" s="4"/>
    </row>
    <row r="36" spans="1:43" ht="15.75" customHeight="1">
      <c r="A36" s="553" t="s">
        <v>124</v>
      </c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L36" s="4"/>
    </row>
    <row r="37" spans="1:43" ht="3.7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L37" s="4"/>
    </row>
    <row r="38" spans="1:43" s="293" customFormat="1" ht="16.5" customHeight="1">
      <c r="A38" s="509" t="s">
        <v>790</v>
      </c>
      <c r="B38" s="655"/>
      <c r="C38" s="655"/>
      <c r="D38" s="655"/>
      <c r="E38" s="655"/>
      <c r="F38" s="655"/>
      <c r="G38" s="655"/>
      <c r="H38" s="655"/>
      <c r="I38" s="655"/>
      <c r="J38" s="632" t="s">
        <v>749</v>
      </c>
      <c r="K38" s="727"/>
      <c r="L38" s="727"/>
      <c r="M38" s="727"/>
      <c r="N38" s="727"/>
      <c r="O38" s="727"/>
      <c r="P38" s="727"/>
      <c r="Q38" s="58"/>
      <c r="R38" s="58"/>
      <c r="S38" s="267"/>
      <c r="T38" s="267"/>
      <c r="U38" s="267"/>
      <c r="V38" s="267"/>
      <c r="W38" s="267"/>
      <c r="X38" s="268"/>
      <c r="Y38" s="58"/>
      <c r="Z38" s="58"/>
      <c r="AA38" s="632" t="str">
        <f ca="1">'Исходник '!B12</f>
        <v>Евдокимов А.О.</v>
      </c>
      <c r="AB38" s="632"/>
      <c r="AC38" s="632"/>
      <c r="AD38" s="632"/>
      <c r="AE38" s="632"/>
      <c r="AF38" s="632"/>
      <c r="AG38" s="632"/>
      <c r="AL38" s="4"/>
    </row>
    <row r="39" spans="1:43" ht="13.5" customHeight="1">
      <c r="A39" s="78"/>
      <c r="B39" s="78"/>
      <c r="C39" s="78"/>
      <c r="D39" s="78"/>
      <c r="E39" s="78"/>
      <c r="F39" s="78"/>
      <c r="G39" s="57"/>
      <c r="H39" s="57"/>
      <c r="I39" s="57"/>
      <c r="J39" s="607" t="s">
        <v>751</v>
      </c>
      <c r="K39" s="777"/>
      <c r="L39" s="777"/>
      <c r="M39" s="777"/>
      <c r="N39" s="777"/>
      <c r="O39" s="777"/>
      <c r="P39" s="777"/>
      <c r="Q39" s="57"/>
      <c r="R39" s="57"/>
      <c r="S39" s="607" t="s">
        <v>653</v>
      </c>
      <c r="T39" s="777"/>
      <c r="U39" s="777"/>
      <c r="V39" s="777"/>
      <c r="W39" s="777"/>
      <c r="X39" s="777"/>
      <c r="Y39" s="57"/>
      <c r="Z39" s="57"/>
      <c r="AA39" s="778" t="s">
        <v>791</v>
      </c>
      <c r="AB39" s="778"/>
      <c r="AC39" s="778"/>
      <c r="AD39" s="778"/>
      <c r="AE39" s="778"/>
      <c r="AF39" s="778"/>
      <c r="AG39" s="778"/>
    </row>
    <row r="40" spans="1:43" ht="15">
      <c r="A40" s="294"/>
      <c r="G40" s="58"/>
      <c r="H40" s="58"/>
      <c r="I40" s="58"/>
      <c r="J40" s="632" t="s">
        <v>792</v>
      </c>
      <c r="K40" s="727"/>
      <c r="L40" s="727"/>
      <c r="M40" s="727"/>
      <c r="N40" s="727"/>
      <c r="O40" s="727"/>
      <c r="P40" s="727"/>
      <c r="Q40" s="58"/>
      <c r="R40" s="58"/>
      <c r="S40" s="58"/>
      <c r="T40" s="58"/>
      <c r="U40" s="58"/>
      <c r="V40" s="58"/>
      <c r="W40" s="58"/>
      <c r="Y40" s="58"/>
      <c r="Z40" s="58"/>
      <c r="AA40" s="632" t="str">
        <f ca="1">'Исходник '!B13</f>
        <v>Кокшаров С.В.</v>
      </c>
      <c r="AB40" s="632"/>
      <c r="AC40" s="632"/>
      <c r="AD40" s="632"/>
      <c r="AE40" s="632"/>
      <c r="AF40" s="632"/>
      <c r="AG40" s="632"/>
    </row>
    <row r="41" spans="1:43" ht="15">
      <c r="A41" s="24"/>
      <c r="J41" s="607" t="s">
        <v>751</v>
      </c>
      <c r="K41" s="813"/>
      <c r="L41" s="813"/>
      <c r="M41" s="813"/>
      <c r="N41" s="813"/>
      <c r="O41" s="813"/>
      <c r="P41" s="813"/>
      <c r="Q41" s="57"/>
      <c r="R41" s="57"/>
      <c r="S41" s="607" t="s">
        <v>653</v>
      </c>
      <c r="T41" s="813"/>
      <c r="U41" s="813"/>
      <c r="V41" s="813"/>
      <c r="W41" s="813"/>
      <c r="X41" s="813"/>
      <c r="Y41" s="57"/>
      <c r="Z41" s="57"/>
      <c r="AA41" s="778" t="s">
        <v>791</v>
      </c>
      <c r="AB41" s="778"/>
      <c r="AC41" s="778"/>
      <c r="AD41" s="778"/>
      <c r="AE41" s="778"/>
      <c r="AF41" s="778"/>
      <c r="AG41" s="778"/>
    </row>
    <row r="42" spans="1:43" ht="15">
      <c r="A42" s="77" t="s">
        <v>97</v>
      </c>
      <c r="B42" s="19"/>
      <c r="C42" s="19"/>
      <c r="D42" s="19"/>
      <c r="E42" s="19"/>
      <c r="F42" s="19"/>
      <c r="G42" s="58"/>
      <c r="H42" s="58"/>
      <c r="I42" s="58"/>
      <c r="J42" s="632" t="s">
        <v>749</v>
      </c>
      <c r="K42" s="727"/>
      <c r="L42" s="727"/>
      <c r="M42" s="727"/>
      <c r="N42" s="727"/>
      <c r="O42" s="727"/>
      <c r="P42" s="727"/>
      <c r="Q42" s="58"/>
      <c r="R42" s="58"/>
      <c r="S42" s="58"/>
      <c r="T42" s="58"/>
      <c r="U42" s="58"/>
      <c r="V42" s="58"/>
      <c r="W42" s="58"/>
      <c r="Y42" s="58"/>
      <c r="Z42" s="58"/>
      <c r="AA42" s="632" t="str">
        <f ca="1">'Исходник '!B12</f>
        <v>Евдокимов А.О.</v>
      </c>
      <c r="AB42" s="632"/>
      <c r="AC42" s="632"/>
      <c r="AD42" s="632"/>
      <c r="AE42" s="632"/>
      <c r="AF42" s="632"/>
      <c r="AG42" s="632"/>
    </row>
    <row r="43" spans="1:43" ht="15">
      <c r="A43" s="77"/>
      <c r="B43" s="78"/>
      <c r="C43" s="78"/>
      <c r="D43" s="78"/>
      <c r="E43" s="78"/>
      <c r="F43" s="78"/>
      <c r="G43" s="57"/>
      <c r="H43" s="57"/>
      <c r="I43" s="57"/>
      <c r="J43" s="607" t="s">
        <v>751</v>
      </c>
      <c r="K43" s="777"/>
      <c r="L43" s="777"/>
      <c r="M43" s="777"/>
      <c r="N43" s="777"/>
      <c r="O43" s="777"/>
      <c r="P43" s="777"/>
      <c r="Q43" s="57"/>
      <c r="R43" s="57"/>
      <c r="S43" s="607" t="s">
        <v>653</v>
      </c>
      <c r="T43" s="777"/>
      <c r="U43" s="777"/>
      <c r="V43" s="777"/>
      <c r="W43" s="777"/>
      <c r="X43" s="777"/>
      <c r="Y43" s="57"/>
      <c r="Z43" s="57"/>
      <c r="AA43" s="778" t="s">
        <v>791</v>
      </c>
      <c r="AB43" s="778"/>
      <c r="AC43" s="778"/>
      <c r="AD43" s="778"/>
      <c r="AE43" s="778"/>
      <c r="AF43" s="778"/>
      <c r="AG43" s="778"/>
      <c r="AL43" s="157"/>
      <c r="AM43" s="141"/>
      <c r="AN43" s="141"/>
      <c r="AO43" s="141"/>
      <c r="AP43" s="173"/>
      <c r="AQ43" s="173"/>
    </row>
    <row r="44" spans="1:43">
      <c r="A44" s="634" t="s">
        <v>794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</row>
    <row r="45" spans="1:43">
      <c r="A45" s="649" t="s">
        <v>795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</row>
    <row r="46" spans="1:43" ht="25.5" customHeight="1"/>
    <row r="47" spans="1:43" ht="90.75" customHeight="1">
      <c r="A47" s="468" t="s">
        <v>125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</row>
  </sheetData>
  <mergeCells count="123">
    <mergeCell ref="A45:AG45"/>
    <mergeCell ref="A47:AM47"/>
    <mergeCell ref="J41:P41"/>
    <mergeCell ref="S41:X41"/>
    <mergeCell ref="AA41:AG41"/>
    <mergeCell ref="J42:P42"/>
    <mergeCell ref="AA42:AG42"/>
    <mergeCell ref="J43:P43"/>
    <mergeCell ref="S43:X43"/>
    <mergeCell ref="AA43:AG43"/>
    <mergeCell ref="A44:AG44"/>
    <mergeCell ref="A36:AG36"/>
    <mergeCell ref="A38:I38"/>
    <mergeCell ref="J38:P38"/>
    <mergeCell ref="AA38:AG38"/>
    <mergeCell ref="J39:P39"/>
    <mergeCell ref="S39:X39"/>
    <mergeCell ref="AA39:AG39"/>
    <mergeCell ref="J40:P40"/>
    <mergeCell ref="AA40:AG40"/>
    <mergeCell ref="R33:V33"/>
    <mergeCell ref="W33:Z33"/>
    <mergeCell ref="AA33:AF33"/>
    <mergeCell ref="AG33:AM33"/>
    <mergeCell ref="B33:G33"/>
    <mergeCell ref="H33:K33"/>
    <mergeCell ref="L33:N33"/>
    <mergeCell ref="O33:Q33"/>
    <mergeCell ref="A35:G35"/>
    <mergeCell ref="H35:AG35"/>
    <mergeCell ref="B31:G31"/>
    <mergeCell ref="H31:K31"/>
    <mergeCell ref="L31:N31"/>
    <mergeCell ref="O31:Q31"/>
    <mergeCell ref="R31:V31"/>
    <mergeCell ref="W31:Z31"/>
    <mergeCell ref="AA31:AF31"/>
    <mergeCell ref="AG31:AM31"/>
    <mergeCell ref="R32:V32"/>
    <mergeCell ref="W32:Z32"/>
    <mergeCell ref="AA32:AF32"/>
    <mergeCell ref="AG32:AM32"/>
    <mergeCell ref="B32:G32"/>
    <mergeCell ref="H32:K32"/>
    <mergeCell ref="L32:N32"/>
    <mergeCell ref="O32:Q32"/>
    <mergeCell ref="R29:Z29"/>
    <mergeCell ref="A29:A30"/>
    <mergeCell ref="B29:G30"/>
    <mergeCell ref="H29:K30"/>
    <mergeCell ref="AA29:AF30"/>
    <mergeCell ref="AG29:AM30"/>
    <mergeCell ref="L30:N30"/>
    <mergeCell ref="O30:Q30"/>
    <mergeCell ref="R30:V30"/>
    <mergeCell ref="W30:Z30"/>
    <mergeCell ref="A27:B27"/>
    <mergeCell ref="C27:I27"/>
    <mergeCell ref="J27:M27"/>
    <mergeCell ref="Q27:T27"/>
    <mergeCell ref="U27:X27"/>
    <mergeCell ref="Y27:Z27"/>
    <mergeCell ref="A28:AG28"/>
    <mergeCell ref="L29:Q29"/>
    <mergeCell ref="AA27:AB27"/>
    <mergeCell ref="AC27:AF27"/>
    <mergeCell ref="AH27:AM27"/>
    <mergeCell ref="A26:B26"/>
    <mergeCell ref="C26:I26"/>
    <mergeCell ref="J26:M26"/>
    <mergeCell ref="Q26:T26"/>
    <mergeCell ref="U26:X26"/>
    <mergeCell ref="Y26:Z26"/>
    <mergeCell ref="AA26:AB26"/>
    <mergeCell ref="AC26:AF26"/>
    <mergeCell ref="AH26:AM26"/>
    <mergeCell ref="A25:B25"/>
    <mergeCell ref="C25:I25"/>
    <mergeCell ref="J25:M25"/>
    <mergeCell ref="Q25:T25"/>
    <mergeCell ref="U25:X25"/>
    <mergeCell ref="Y25:Z25"/>
    <mergeCell ref="AA25:AB25"/>
    <mergeCell ref="AC25:AF25"/>
    <mergeCell ref="AH25:AM25"/>
    <mergeCell ref="B19:AM19"/>
    <mergeCell ref="B20:AM20"/>
    <mergeCell ref="A21:AM21"/>
    <mergeCell ref="O22:P23"/>
    <mergeCell ref="Y22:AG23"/>
    <mergeCell ref="A22:B24"/>
    <mergeCell ref="C22:I24"/>
    <mergeCell ref="J22:M24"/>
    <mergeCell ref="N22:N24"/>
    <mergeCell ref="Q22:T24"/>
    <mergeCell ref="U22:X24"/>
    <mergeCell ref="AH22:AM24"/>
    <mergeCell ref="Y24:Z24"/>
    <mergeCell ref="AA24:AB24"/>
    <mergeCell ref="AC24:AF24"/>
    <mergeCell ref="A7:AM7"/>
    <mergeCell ref="B8:H8"/>
    <mergeCell ref="I8:J8"/>
    <mergeCell ref="B14:AM14"/>
    <mergeCell ref="B15:AM15"/>
    <mergeCell ref="B16:AM16"/>
    <mergeCell ref="A9:AM9"/>
    <mergeCell ref="A10:AM10"/>
    <mergeCell ref="A11:AM11"/>
    <mergeCell ref="A12:AM13"/>
    <mergeCell ref="Y1:AM1"/>
    <mergeCell ref="B2:I2"/>
    <mergeCell ref="Y2:AM2"/>
    <mergeCell ref="AE4:AM4"/>
    <mergeCell ref="A5:AM5"/>
    <mergeCell ref="A6:AM6"/>
    <mergeCell ref="AG8:AH8"/>
    <mergeCell ref="N8:P8"/>
    <mergeCell ref="Q8:R8"/>
    <mergeCell ref="U8:AB8"/>
    <mergeCell ref="AC8:AF8"/>
    <mergeCell ref="B18:AM18"/>
    <mergeCell ref="B17:AM17"/>
  </mergeCells>
  <phoneticPr fontId="0" type="noConversion"/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1"/>
  <sheetViews>
    <sheetView workbookViewId="0">
      <selection activeCell="AA9" sqref="AA9"/>
    </sheetView>
  </sheetViews>
  <sheetFormatPr defaultRowHeight="12.75"/>
  <cols>
    <col min="1" max="1" width="2.7109375" customWidth="1"/>
    <col min="2" max="2" width="2" customWidth="1"/>
    <col min="3" max="11" width="2.7109375" customWidth="1"/>
    <col min="12" max="12" width="2.140625" customWidth="1"/>
    <col min="13" max="13" width="2.7109375" customWidth="1"/>
    <col min="14" max="14" width="2.140625" customWidth="1"/>
    <col min="15" max="15" width="9" customWidth="1"/>
    <col min="16" max="16" width="3.140625" customWidth="1"/>
    <col min="17" max="17" width="2.140625" customWidth="1"/>
    <col min="18" max="19" width="2.7109375" customWidth="1"/>
    <col min="20" max="20" width="2.28515625" customWidth="1"/>
    <col min="21" max="26" width="2.7109375" customWidth="1"/>
    <col min="27" max="27" width="4.42578125" customWidth="1"/>
    <col min="28" max="32" width="2.7109375" customWidth="1"/>
    <col min="33" max="33" width="3" customWidth="1"/>
  </cols>
  <sheetData>
    <row r="1" spans="1:33" s="274" customFormat="1" ht="15.75">
      <c r="A1" s="816" t="str">
        <f ca="1">'Исходник '!B3</f>
        <v>ООО «ТМ-Электро»</v>
      </c>
      <c r="B1" s="817"/>
      <c r="C1" s="817"/>
      <c r="D1" s="817"/>
      <c r="E1" s="817"/>
      <c r="F1" s="817"/>
      <c r="G1" s="817"/>
      <c r="H1" s="817"/>
      <c r="I1" s="817"/>
      <c r="J1" s="63"/>
      <c r="K1" s="63"/>
      <c r="L1" s="63"/>
      <c r="M1" s="63"/>
      <c r="N1" s="63"/>
      <c r="O1" s="63"/>
      <c r="P1" s="79" t="str">
        <f ca="1">'Исходник '!A19</f>
        <v>Заказчик:</v>
      </c>
      <c r="Q1" s="63"/>
      <c r="R1" s="273"/>
      <c r="S1" s="63"/>
      <c r="T1" s="818">
        <f ca="1">'Исходник '!B19</f>
        <v>0</v>
      </c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</row>
    <row r="2" spans="1:33" s="171" customFormat="1" ht="15.75">
      <c r="A2" s="504" t="s">
        <v>632</v>
      </c>
      <c r="B2" s="554"/>
      <c r="C2" s="554"/>
      <c r="D2" s="554"/>
      <c r="E2" s="554"/>
      <c r="F2" s="554"/>
      <c r="G2" s="554"/>
      <c r="H2" s="554"/>
      <c r="I2" s="554"/>
      <c r="J2" s="100"/>
      <c r="K2" s="100"/>
      <c r="L2" s="100"/>
      <c r="M2" s="100"/>
      <c r="N2" s="100"/>
      <c r="O2" s="100"/>
      <c r="P2" s="79" t="str">
        <f ca="1">'Исходник '!A20</f>
        <v>Объект:</v>
      </c>
      <c r="Q2" s="63"/>
      <c r="R2" s="273"/>
      <c r="S2" s="63"/>
      <c r="T2" s="818" t="str">
        <f ca="1">'Исходник '!B20</f>
        <v>Фитнес-клуб</v>
      </c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</row>
    <row r="3" spans="1:33" s="274" customFormat="1" ht="17.25" customHeight="1">
      <c r="A3" s="100" t="str">
        <f ca="1">'Исходник '!A5</f>
        <v>Свидетельство о регистрации</v>
      </c>
      <c r="B3" s="63"/>
      <c r="C3" s="63"/>
      <c r="D3" s="63"/>
      <c r="E3" s="63"/>
      <c r="F3" s="63"/>
      <c r="G3" s="63"/>
      <c r="H3" s="63"/>
      <c r="I3" s="63"/>
      <c r="J3" s="63"/>
      <c r="K3" s="100" t="str">
        <f ca="1">'Исходник '!B5</f>
        <v>№ 6231-2</v>
      </c>
      <c r="L3" s="63"/>
      <c r="M3" s="63"/>
      <c r="N3" s="63"/>
      <c r="O3" s="63"/>
      <c r="P3" s="64" t="str">
        <f ca="1">'Исходник '!A21</f>
        <v>Адрес:</v>
      </c>
      <c r="Q3" s="63"/>
      <c r="R3" s="273"/>
      <c r="S3" s="820">
        <f ca="1">'Исходник '!B21</f>
        <v>0</v>
      </c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</row>
    <row r="4" spans="1:33" s="274" customFormat="1" ht="15.75">
      <c r="A4" s="818" t="str">
        <f ca="1">CONCATENATE('Исходник '!A7," ",'Исходник '!B7)</f>
        <v xml:space="preserve">Действительно до «11» января 2022 г. 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63"/>
      <c r="P4" s="79" t="str">
        <f ca="1">'Исходник '!A31</f>
        <v>Дата проведения измерений до:</v>
      </c>
      <c r="Q4" s="63"/>
      <c r="R4" s="273"/>
      <c r="S4" s="63"/>
      <c r="T4" s="63"/>
      <c r="U4" s="63"/>
      <c r="V4" s="63"/>
      <c r="W4" s="63"/>
      <c r="X4" s="63"/>
      <c r="Y4" s="63"/>
      <c r="Z4" s="63"/>
      <c r="AA4" s="63"/>
      <c r="AB4" s="63" t="str">
        <f ca="1">'Исходник '!B31</f>
        <v>29 января 2020г.</v>
      </c>
      <c r="AC4" s="63"/>
      <c r="AD4" s="63"/>
      <c r="AE4" s="63"/>
      <c r="AF4" s="63"/>
    </row>
    <row r="5" spans="1:3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89.25" customHeight="1">
      <c r="A6" s="821" t="s">
        <v>126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3"/>
    </row>
    <row r="7" spans="1:33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 t="s">
        <v>127</v>
      </c>
      <c r="N8" s="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3" s="134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22" t="s">
        <v>128</v>
      </c>
      <c r="L9" s="22"/>
      <c r="M9" s="22"/>
      <c r="N9" s="22"/>
      <c r="O9" s="22"/>
      <c r="P9" s="22" t="str">
        <f ca="1">'Исходник '!B34</f>
        <v>29 января 2020г.</v>
      </c>
      <c r="Q9" s="22"/>
      <c r="R9" s="22"/>
      <c r="S9" s="22"/>
      <c r="T9" s="22"/>
      <c r="U9" s="22"/>
      <c r="V9" s="22"/>
      <c r="W9" s="6"/>
      <c r="X9" s="6"/>
      <c r="Y9" s="6"/>
      <c r="Z9" s="6"/>
      <c r="AA9" s="6"/>
      <c r="AB9" s="6"/>
      <c r="AC9" s="6"/>
      <c r="AD9" s="6"/>
      <c r="AE9" s="6"/>
      <c r="AF9" s="6"/>
      <c r="AG9"/>
    </row>
    <row r="10" spans="1:33" s="277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/>
    </row>
    <row r="11" spans="1:33" s="243" customFormat="1" ht="47.25" customHeight="1">
      <c r="A11" s="679" t="s">
        <v>129</v>
      </c>
      <c r="B11" s="797"/>
      <c r="C11" s="611" t="s">
        <v>130</v>
      </c>
      <c r="D11" s="797"/>
      <c r="E11" s="797"/>
      <c r="F11" s="797"/>
      <c r="G11" s="797"/>
      <c r="H11" s="797"/>
      <c r="I11" s="797"/>
      <c r="J11" s="797"/>
      <c r="K11" s="797"/>
      <c r="L11" s="797"/>
      <c r="M11" s="611" t="s">
        <v>131</v>
      </c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7"/>
      <c r="AG11" s="797"/>
    </row>
    <row r="12" spans="1:33" s="243" customFormat="1" ht="16.5" customHeight="1">
      <c r="A12" s="826">
        <v>1</v>
      </c>
      <c r="B12" s="826"/>
      <c r="C12" s="826">
        <v>2</v>
      </c>
      <c r="D12" s="826"/>
      <c r="E12" s="826"/>
      <c r="F12" s="826"/>
      <c r="G12" s="826"/>
      <c r="H12" s="826"/>
      <c r="I12" s="826"/>
      <c r="J12" s="826"/>
      <c r="K12" s="826"/>
      <c r="L12" s="826"/>
      <c r="M12" s="827">
        <v>3</v>
      </c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9"/>
    </row>
    <row r="13" spans="1:33" ht="80.25" customHeight="1">
      <c r="A13" s="824">
        <v>1</v>
      </c>
      <c r="B13" s="824"/>
      <c r="C13" s="830" t="s">
        <v>132</v>
      </c>
      <c r="D13" s="831"/>
      <c r="E13" s="831"/>
      <c r="F13" s="831"/>
      <c r="G13" s="831"/>
      <c r="H13" s="831"/>
      <c r="I13" s="831"/>
      <c r="J13" s="831"/>
      <c r="K13" s="831"/>
      <c r="L13" s="832"/>
      <c r="M13" s="637" t="s">
        <v>133</v>
      </c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9"/>
    </row>
    <row r="14" spans="1:33" s="134" customFormat="1" ht="84" customHeight="1">
      <c r="A14" s="824">
        <v>2</v>
      </c>
      <c r="B14" s="824"/>
      <c r="C14" s="637" t="s">
        <v>134</v>
      </c>
      <c r="D14" s="814"/>
      <c r="E14" s="814"/>
      <c r="F14" s="814"/>
      <c r="G14" s="814"/>
      <c r="H14" s="814"/>
      <c r="I14" s="814"/>
      <c r="J14" s="814"/>
      <c r="K14" s="814"/>
      <c r="L14" s="815"/>
      <c r="M14" s="637" t="s">
        <v>135</v>
      </c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9"/>
    </row>
    <row r="15" spans="1:33" ht="20.25" customHeight="1">
      <c r="A15" s="622" t="s">
        <v>136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4"/>
    </row>
    <row r="16" spans="1:33" ht="54.75" customHeight="1">
      <c r="A16" s="824">
        <v>3</v>
      </c>
      <c r="B16" s="824"/>
      <c r="C16" s="637" t="s">
        <v>137</v>
      </c>
      <c r="D16" s="814"/>
      <c r="E16" s="814"/>
      <c r="F16" s="814"/>
      <c r="G16" s="814"/>
      <c r="H16" s="814"/>
      <c r="I16" s="814"/>
      <c r="J16" s="814"/>
      <c r="K16" s="814"/>
      <c r="L16" s="815"/>
      <c r="M16" s="637" t="s">
        <v>138</v>
      </c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9"/>
    </row>
    <row r="17" spans="1:33" ht="57.75" customHeight="1">
      <c r="A17" s="824">
        <v>4</v>
      </c>
      <c r="B17" s="824"/>
      <c r="C17" s="620" t="s">
        <v>139</v>
      </c>
      <c r="D17" s="825"/>
      <c r="E17" s="825"/>
      <c r="F17" s="825"/>
      <c r="G17" s="825"/>
      <c r="H17" s="825"/>
      <c r="I17" s="825"/>
      <c r="J17" s="825"/>
      <c r="K17" s="825"/>
      <c r="L17" s="825"/>
      <c r="M17" s="620" t="s">
        <v>140</v>
      </c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</row>
    <row r="18" spans="1:33" ht="57" customHeight="1">
      <c r="A18" s="824">
        <v>5</v>
      </c>
      <c r="B18" s="824"/>
      <c r="C18" s="620" t="s">
        <v>141</v>
      </c>
      <c r="D18" s="825"/>
      <c r="E18" s="825"/>
      <c r="F18" s="825"/>
      <c r="G18" s="825"/>
      <c r="H18" s="825"/>
      <c r="I18" s="825"/>
      <c r="J18" s="825"/>
      <c r="K18" s="825"/>
      <c r="L18" s="825"/>
      <c r="M18" s="620" t="s">
        <v>142</v>
      </c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</row>
    <row r="19" spans="1:33" ht="57" customHeight="1">
      <c r="A19" s="824">
        <v>6</v>
      </c>
      <c r="B19" s="824"/>
      <c r="C19" s="620" t="s">
        <v>143</v>
      </c>
      <c r="D19" s="825"/>
      <c r="E19" s="825"/>
      <c r="F19" s="825"/>
      <c r="G19" s="825"/>
      <c r="H19" s="825"/>
      <c r="I19" s="825"/>
      <c r="J19" s="825"/>
      <c r="K19" s="825"/>
      <c r="L19" s="825"/>
      <c r="M19" s="620" t="s">
        <v>144</v>
      </c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</row>
    <row r="20" spans="1:33" s="243" customFormat="1" ht="24" customHeight="1">
      <c r="A20" s="824">
        <v>7</v>
      </c>
      <c r="B20" s="824"/>
      <c r="C20" s="835" t="s">
        <v>829</v>
      </c>
      <c r="D20" s="836"/>
      <c r="E20" s="836"/>
      <c r="F20" s="836"/>
      <c r="G20" s="836"/>
      <c r="H20" s="836"/>
      <c r="I20" s="836"/>
      <c r="J20" s="836"/>
      <c r="K20" s="836"/>
      <c r="L20" s="837"/>
      <c r="M20" s="835" t="s">
        <v>145</v>
      </c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9"/>
    </row>
    <row r="21" spans="1:33" ht="87" customHeight="1">
      <c r="A21" s="824">
        <v>8</v>
      </c>
      <c r="B21" s="824"/>
      <c r="C21" s="637" t="s">
        <v>829</v>
      </c>
      <c r="D21" s="814"/>
      <c r="E21" s="814"/>
      <c r="F21" s="814"/>
      <c r="G21" s="814"/>
      <c r="H21" s="814"/>
      <c r="I21" s="814"/>
      <c r="J21" s="814"/>
      <c r="K21" s="814"/>
      <c r="L21" s="815"/>
      <c r="M21" s="637" t="s">
        <v>146</v>
      </c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9"/>
    </row>
    <row r="22" spans="1:33" s="243" customFormat="1" ht="24" customHeight="1">
      <c r="A22" s="824">
        <v>9</v>
      </c>
      <c r="B22" s="824"/>
      <c r="C22" s="637" t="s">
        <v>829</v>
      </c>
      <c r="D22" s="814"/>
      <c r="E22" s="814"/>
      <c r="F22" s="814"/>
      <c r="G22" s="814"/>
      <c r="H22" s="814"/>
      <c r="I22" s="814"/>
      <c r="J22" s="814"/>
      <c r="K22" s="814"/>
      <c r="L22" s="815"/>
      <c r="M22" s="637" t="s">
        <v>147</v>
      </c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9"/>
    </row>
    <row r="23" spans="1:33" ht="37.5" customHeight="1">
      <c r="A23" s="824">
        <v>10</v>
      </c>
      <c r="B23" s="824"/>
      <c r="C23" s="637" t="s">
        <v>829</v>
      </c>
      <c r="D23" s="814"/>
      <c r="E23" s="814"/>
      <c r="F23" s="814"/>
      <c r="G23" s="814"/>
      <c r="H23" s="814"/>
      <c r="I23" s="814"/>
      <c r="J23" s="814"/>
      <c r="K23" s="814"/>
      <c r="L23" s="815"/>
      <c r="M23" s="637" t="s">
        <v>148</v>
      </c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9"/>
    </row>
    <row r="24" spans="1:33" ht="37.5" customHeight="1">
      <c r="A24" s="824">
        <v>11</v>
      </c>
      <c r="B24" s="824"/>
      <c r="C24" s="637" t="s">
        <v>829</v>
      </c>
      <c r="D24" s="814"/>
      <c r="E24" s="814"/>
      <c r="F24" s="814"/>
      <c r="G24" s="814"/>
      <c r="H24" s="814"/>
      <c r="I24" s="814"/>
      <c r="J24" s="814"/>
      <c r="K24" s="814"/>
      <c r="L24" s="815"/>
      <c r="M24" s="637" t="s">
        <v>149</v>
      </c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9"/>
    </row>
    <row r="25" spans="1:33" ht="37.5" customHeight="1">
      <c r="A25" s="824">
        <v>12</v>
      </c>
      <c r="B25" s="824"/>
      <c r="C25" s="637" t="s">
        <v>829</v>
      </c>
      <c r="D25" s="814"/>
      <c r="E25" s="814"/>
      <c r="F25" s="814"/>
      <c r="G25" s="814"/>
      <c r="H25" s="814"/>
      <c r="I25" s="814"/>
      <c r="J25" s="814"/>
      <c r="K25" s="814"/>
      <c r="L25" s="815"/>
      <c r="M25" s="637" t="s">
        <v>150</v>
      </c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9"/>
    </row>
    <row r="26" spans="1:33" s="243" customFormat="1" ht="26.25" customHeight="1">
      <c r="A26" s="824">
        <v>13</v>
      </c>
      <c r="B26" s="824"/>
      <c r="C26" s="637" t="s">
        <v>834</v>
      </c>
      <c r="D26" s="638"/>
      <c r="E26" s="638"/>
      <c r="F26" s="638"/>
      <c r="G26" s="638"/>
      <c r="H26" s="638"/>
      <c r="I26" s="638"/>
      <c r="J26" s="638"/>
      <c r="K26" s="638"/>
      <c r="L26" s="639"/>
      <c r="M26" s="637" t="s">
        <v>151</v>
      </c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9"/>
    </row>
    <row r="27" spans="1:33" s="243" customFormat="1" ht="37.5" customHeight="1">
      <c r="A27" s="824">
        <v>14</v>
      </c>
      <c r="B27" s="824"/>
      <c r="C27" s="637" t="s">
        <v>834</v>
      </c>
      <c r="D27" s="638"/>
      <c r="E27" s="638"/>
      <c r="F27" s="638"/>
      <c r="G27" s="638"/>
      <c r="H27" s="638"/>
      <c r="I27" s="638"/>
      <c r="J27" s="638"/>
      <c r="K27" s="638"/>
      <c r="L27" s="639"/>
      <c r="M27" s="637" t="s">
        <v>152</v>
      </c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9"/>
    </row>
    <row r="28" spans="1:33" ht="48.75" customHeight="1">
      <c r="A28" s="824">
        <v>15</v>
      </c>
      <c r="B28" s="824"/>
      <c r="C28" s="637" t="s">
        <v>834</v>
      </c>
      <c r="D28" s="638"/>
      <c r="E28" s="638"/>
      <c r="F28" s="638"/>
      <c r="G28" s="638"/>
      <c r="H28" s="638"/>
      <c r="I28" s="638"/>
      <c r="J28" s="638"/>
      <c r="K28" s="638"/>
      <c r="L28" s="639"/>
      <c r="M28" s="637" t="s">
        <v>153</v>
      </c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638"/>
      <c r="AD28" s="638"/>
      <c r="AE28" s="638"/>
      <c r="AF28" s="638"/>
      <c r="AG28" s="639"/>
    </row>
    <row r="29" spans="1:33" ht="81.75" customHeight="1">
      <c r="A29" s="824">
        <v>16</v>
      </c>
      <c r="B29" s="824"/>
      <c r="C29" s="637" t="s">
        <v>834</v>
      </c>
      <c r="D29" s="638"/>
      <c r="E29" s="638"/>
      <c r="F29" s="638"/>
      <c r="G29" s="638"/>
      <c r="H29" s="638"/>
      <c r="I29" s="638"/>
      <c r="J29" s="638"/>
      <c r="K29" s="638"/>
      <c r="L29" s="639"/>
      <c r="M29" s="637" t="s">
        <v>154</v>
      </c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9"/>
    </row>
    <row r="30" spans="1:33" s="171" customFormat="1" ht="35.1" customHeight="1">
      <c r="A30" s="824">
        <v>17</v>
      </c>
      <c r="B30" s="824"/>
      <c r="C30" s="637" t="s">
        <v>834</v>
      </c>
      <c r="D30" s="638"/>
      <c r="E30" s="638"/>
      <c r="F30" s="638"/>
      <c r="G30" s="638"/>
      <c r="H30" s="638"/>
      <c r="I30" s="638"/>
      <c r="J30" s="638"/>
      <c r="K30" s="638"/>
      <c r="L30" s="639"/>
      <c r="M30" s="637" t="s">
        <v>155</v>
      </c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9"/>
    </row>
    <row r="31" spans="1:33" s="243" customFormat="1" ht="26.25" customHeight="1">
      <c r="A31" s="824">
        <v>18</v>
      </c>
      <c r="B31" s="824"/>
      <c r="C31" s="637" t="s">
        <v>837</v>
      </c>
      <c r="D31" s="638"/>
      <c r="E31" s="638"/>
      <c r="F31" s="638"/>
      <c r="G31" s="638"/>
      <c r="H31" s="638"/>
      <c r="I31" s="638"/>
      <c r="J31" s="638"/>
      <c r="K31" s="638"/>
      <c r="L31" s="639"/>
      <c r="M31" s="637" t="s">
        <v>151</v>
      </c>
      <c r="N31" s="638"/>
      <c r="O31" s="638"/>
      <c r="P31" s="638"/>
      <c r="Q31" s="638"/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9"/>
    </row>
    <row r="32" spans="1:33" s="243" customFormat="1" ht="37.5" customHeight="1">
      <c r="A32" s="824">
        <v>19</v>
      </c>
      <c r="B32" s="824"/>
      <c r="C32" s="637" t="s">
        <v>837</v>
      </c>
      <c r="D32" s="638"/>
      <c r="E32" s="638"/>
      <c r="F32" s="638"/>
      <c r="G32" s="638"/>
      <c r="H32" s="638"/>
      <c r="I32" s="638"/>
      <c r="J32" s="638"/>
      <c r="K32" s="638"/>
      <c r="L32" s="639"/>
      <c r="M32" s="637" t="s">
        <v>152</v>
      </c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9"/>
    </row>
    <row r="33" spans="1:33" ht="49.5" customHeight="1">
      <c r="A33" s="824">
        <v>20</v>
      </c>
      <c r="B33" s="824"/>
      <c r="C33" s="637" t="s">
        <v>837</v>
      </c>
      <c r="D33" s="638"/>
      <c r="E33" s="638"/>
      <c r="F33" s="638"/>
      <c r="G33" s="638"/>
      <c r="H33" s="638"/>
      <c r="I33" s="638"/>
      <c r="J33" s="638"/>
      <c r="K33" s="638"/>
      <c r="L33" s="639"/>
      <c r="M33" s="637" t="s">
        <v>153</v>
      </c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9"/>
    </row>
    <row r="34" spans="1:33" ht="81.75" customHeight="1">
      <c r="A34" s="824">
        <v>21</v>
      </c>
      <c r="B34" s="824"/>
      <c r="C34" s="637" t="s">
        <v>837</v>
      </c>
      <c r="D34" s="638"/>
      <c r="E34" s="638"/>
      <c r="F34" s="638"/>
      <c r="G34" s="638"/>
      <c r="H34" s="638"/>
      <c r="I34" s="638"/>
      <c r="J34" s="638"/>
      <c r="K34" s="638"/>
      <c r="L34" s="639"/>
      <c r="M34" s="637" t="s">
        <v>154</v>
      </c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9"/>
    </row>
    <row r="35" spans="1:33" s="243" customFormat="1" ht="26.25" customHeight="1">
      <c r="A35" s="824">
        <v>22</v>
      </c>
      <c r="B35" s="824"/>
      <c r="C35" s="637" t="s">
        <v>838</v>
      </c>
      <c r="D35" s="638"/>
      <c r="E35" s="638"/>
      <c r="F35" s="638"/>
      <c r="G35" s="638"/>
      <c r="H35" s="638"/>
      <c r="I35" s="638"/>
      <c r="J35" s="638"/>
      <c r="K35" s="638"/>
      <c r="L35" s="639"/>
      <c r="M35" s="637" t="s">
        <v>151</v>
      </c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639"/>
    </row>
    <row r="36" spans="1:33" ht="31.5" customHeight="1">
      <c r="A36" s="824">
        <v>23</v>
      </c>
      <c r="B36" s="824"/>
      <c r="C36" s="637" t="s">
        <v>838</v>
      </c>
      <c r="D36" s="638"/>
      <c r="E36" s="638"/>
      <c r="F36" s="638"/>
      <c r="G36" s="638"/>
      <c r="H36" s="638"/>
      <c r="I36" s="638"/>
      <c r="J36" s="638"/>
      <c r="K36" s="638"/>
      <c r="L36" s="639"/>
      <c r="M36" s="637" t="s">
        <v>156</v>
      </c>
      <c r="N36" s="638"/>
      <c r="O36" s="638"/>
      <c r="P36" s="638"/>
      <c r="Q36" s="638"/>
      <c r="R36" s="638"/>
      <c r="S36" s="638"/>
      <c r="T36" s="638"/>
      <c r="U36" s="638"/>
      <c r="V36" s="638"/>
      <c r="W36" s="638"/>
      <c r="X36" s="638"/>
      <c r="Y36" s="638"/>
      <c r="Z36" s="638"/>
      <c r="AA36" s="638"/>
      <c r="AB36" s="638"/>
      <c r="AC36" s="638"/>
      <c r="AD36" s="638"/>
      <c r="AE36" s="638"/>
      <c r="AF36" s="638"/>
      <c r="AG36" s="639"/>
    </row>
    <row r="37" spans="1:33" ht="26.25" customHeight="1">
      <c r="A37" s="824">
        <v>24</v>
      </c>
      <c r="B37" s="824"/>
      <c r="C37" s="637" t="s">
        <v>838</v>
      </c>
      <c r="D37" s="638"/>
      <c r="E37" s="638"/>
      <c r="F37" s="638"/>
      <c r="G37" s="638"/>
      <c r="H37" s="638"/>
      <c r="I37" s="638"/>
      <c r="J37" s="638"/>
      <c r="K37" s="638"/>
      <c r="L37" s="639"/>
      <c r="M37" s="637" t="s">
        <v>157</v>
      </c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9"/>
    </row>
    <row r="38" spans="1:33" s="243" customFormat="1" ht="26.25" customHeight="1">
      <c r="A38" s="824">
        <v>25</v>
      </c>
      <c r="B38" s="824"/>
      <c r="C38" s="637" t="s">
        <v>835</v>
      </c>
      <c r="D38" s="638"/>
      <c r="E38" s="638"/>
      <c r="F38" s="638"/>
      <c r="G38" s="638"/>
      <c r="H38" s="638"/>
      <c r="I38" s="638"/>
      <c r="J38" s="638"/>
      <c r="K38" s="638"/>
      <c r="L38" s="639"/>
      <c r="M38" s="637" t="s">
        <v>151</v>
      </c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9"/>
    </row>
    <row r="39" spans="1:33" s="243" customFormat="1" ht="37.5" customHeight="1">
      <c r="A39" s="824">
        <v>26</v>
      </c>
      <c r="B39" s="824"/>
      <c r="C39" s="637" t="s">
        <v>835</v>
      </c>
      <c r="D39" s="638"/>
      <c r="E39" s="638"/>
      <c r="F39" s="638"/>
      <c r="G39" s="638"/>
      <c r="H39" s="638"/>
      <c r="I39" s="638"/>
      <c r="J39" s="638"/>
      <c r="K39" s="638"/>
      <c r="L39" s="639"/>
      <c r="M39" s="637" t="s">
        <v>152</v>
      </c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9"/>
    </row>
    <row r="40" spans="1:33" ht="54" customHeight="1">
      <c r="A40" s="824">
        <v>27</v>
      </c>
      <c r="B40" s="824"/>
      <c r="C40" s="637" t="s">
        <v>835</v>
      </c>
      <c r="D40" s="638"/>
      <c r="E40" s="638"/>
      <c r="F40" s="638"/>
      <c r="G40" s="638"/>
      <c r="H40" s="638"/>
      <c r="I40" s="638"/>
      <c r="J40" s="638"/>
      <c r="K40" s="638"/>
      <c r="L40" s="639"/>
      <c r="M40" s="637" t="s">
        <v>153</v>
      </c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9"/>
    </row>
    <row r="41" spans="1:33" s="243" customFormat="1" ht="18.75" customHeight="1">
      <c r="A41" s="824">
        <v>28</v>
      </c>
      <c r="B41" s="824"/>
      <c r="C41" s="637" t="s">
        <v>836</v>
      </c>
      <c r="D41" s="638"/>
      <c r="E41" s="638"/>
      <c r="F41" s="638"/>
      <c r="G41" s="638"/>
      <c r="H41" s="638"/>
      <c r="I41" s="638"/>
      <c r="J41" s="638"/>
      <c r="K41" s="638"/>
      <c r="L41" s="639"/>
      <c r="M41" s="637" t="s">
        <v>151</v>
      </c>
      <c r="N41" s="638"/>
      <c r="O41" s="638"/>
      <c r="P41" s="638"/>
      <c r="Q41" s="638"/>
      <c r="R41" s="638"/>
      <c r="S41" s="638"/>
      <c r="T41" s="638"/>
      <c r="U41" s="638"/>
      <c r="V41" s="638"/>
      <c r="W41" s="638"/>
      <c r="X41" s="638"/>
      <c r="Y41" s="638"/>
      <c r="Z41" s="638"/>
      <c r="AA41" s="638"/>
      <c r="AB41" s="638"/>
      <c r="AC41" s="638"/>
      <c r="AD41" s="638"/>
      <c r="AE41" s="638"/>
      <c r="AF41" s="638"/>
      <c r="AG41" s="639"/>
    </row>
    <row r="42" spans="1:33" ht="31.5" customHeight="1">
      <c r="A42" s="824">
        <v>29</v>
      </c>
      <c r="B42" s="824"/>
      <c r="C42" s="637" t="s">
        <v>836</v>
      </c>
      <c r="D42" s="638"/>
      <c r="E42" s="638"/>
      <c r="F42" s="638"/>
      <c r="G42" s="638"/>
      <c r="H42" s="638"/>
      <c r="I42" s="638"/>
      <c r="J42" s="638"/>
      <c r="K42" s="638"/>
      <c r="L42" s="639"/>
      <c r="M42" s="637" t="s">
        <v>156</v>
      </c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9"/>
    </row>
    <row r="43" spans="1:33" ht="19.5" customHeight="1">
      <c r="A43" s="824">
        <v>30</v>
      </c>
      <c r="B43" s="824"/>
      <c r="C43" s="637" t="s">
        <v>836</v>
      </c>
      <c r="D43" s="638"/>
      <c r="E43" s="638"/>
      <c r="F43" s="638"/>
      <c r="G43" s="638"/>
      <c r="H43" s="638"/>
      <c r="I43" s="638"/>
      <c r="J43" s="638"/>
      <c r="K43" s="638"/>
      <c r="L43" s="639"/>
      <c r="M43" s="637" t="s">
        <v>157</v>
      </c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9"/>
    </row>
    <row r="44" spans="1:33" ht="19.5" customHeight="1">
      <c r="A44" s="840" t="s">
        <v>158</v>
      </c>
      <c r="B44" s="841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  <c r="AE44" s="842"/>
      <c r="AF44" s="842"/>
      <c r="AG44" s="843"/>
    </row>
    <row r="45" spans="1:33" ht="54.75" customHeight="1">
      <c r="A45" s="824">
        <v>31</v>
      </c>
      <c r="B45" s="824"/>
      <c r="C45" s="637" t="s">
        <v>813</v>
      </c>
      <c r="D45" s="638"/>
      <c r="E45" s="638"/>
      <c r="F45" s="638"/>
      <c r="G45" s="638"/>
      <c r="H45" s="638"/>
      <c r="I45" s="638"/>
      <c r="J45" s="638"/>
      <c r="K45" s="638"/>
      <c r="L45" s="639"/>
      <c r="M45" s="637" t="s">
        <v>153</v>
      </c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9"/>
    </row>
    <row r="46" spans="1:33" ht="82.5" customHeight="1">
      <c r="A46" s="824">
        <v>32</v>
      </c>
      <c r="B46" s="824"/>
      <c r="C46" s="637" t="s">
        <v>813</v>
      </c>
      <c r="D46" s="638"/>
      <c r="E46" s="638"/>
      <c r="F46" s="638"/>
      <c r="G46" s="638"/>
      <c r="H46" s="638"/>
      <c r="I46" s="638"/>
      <c r="J46" s="638"/>
      <c r="K46" s="638"/>
      <c r="L46" s="639"/>
      <c r="M46" s="637" t="s">
        <v>154</v>
      </c>
      <c r="N46" s="638"/>
      <c r="O46" s="638"/>
      <c r="P46" s="638"/>
      <c r="Q46" s="638"/>
      <c r="R46" s="638"/>
      <c r="S46" s="638"/>
      <c r="T46" s="638"/>
      <c r="U46" s="638"/>
      <c r="V46" s="638"/>
      <c r="W46" s="638"/>
      <c r="X46" s="638"/>
      <c r="Y46" s="638"/>
      <c r="Z46" s="638"/>
      <c r="AA46" s="638"/>
      <c r="AB46" s="638"/>
      <c r="AC46" s="638"/>
      <c r="AD46" s="638"/>
      <c r="AE46" s="638"/>
      <c r="AF46" s="638"/>
      <c r="AG46" s="639"/>
    </row>
    <row r="47" spans="1:33" ht="37.5" customHeight="1">
      <c r="A47" s="824">
        <v>33</v>
      </c>
      <c r="B47" s="824"/>
      <c r="C47" s="637" t="s">
        <v>813</v>
      </c>
      <c r="D47" s="638"/>
      <c r="E47" s="638"/>
      <c r="F47" s="638"/>
      <c r="G47" s="638"/>
      <c r="H47" s="638"/>
      <c r="I47" s="638"/>
      <c r="J47" s="638"/>
      <c r="K47" s="638"/>
      <c r="L47" s="639"/>
      <c r="M47" s="637" t="s">
        <v>148</v>
      </c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9"/>
    </row>
    <row r="48" spans="1:33" ht="49.5" customHeight="1">
      <c r="A48" s="824">
        <v>34</v>
      </c>
      <c r="B48" s="824"/>
      <c r="C48" s="637" t="s">
        <v>809</v>
      </c>
      <c r="D48" s="638"/>
      <c r="E48" s="638"/>
      <c r="F48" s="638"/>
      <c r="G48" s="638"/>
      <c r="H48" s="638"/>
      <c r="I48" s="638"/>
      <c r="J48" s="638"/>
      <c r="K48" s="638"/>
      <c r="L48" s="639"/>
      <c r="M48" s="637" t="s">
        <v>153</v>
      </c>
      <c r="N48" s="638"/>
      <c r="O48" s="638"/>
      <c r="P48" s="638"/>
      <c r="Q48" s="638"/>
      <c r="R48" s="638"/>
      <c r="S48" s="638"/>
      <c r="T48" s="638"/>
      <c r="U48" s="638"/>
      <c r="V48" s="638"/>
      <c r="W48" s="638"/>
      <c r="X48" s="638"/>
      <c r="Y48" s="638"/>
      <c r="Z48" s="638"/>
      <c r="AA48" s="638"/>
      <c r="AB48" s="638"/>
      <c r="AC48" s="638"/>
      <c r="AD48" s="638"/>
      <c r="AE48" s="638"/>
      <c r="AF48" s="638"/>
      <c r="AG48" s="639"/>
    </row>
    <row r="49" spans="1:33" ht="37.5" customHeight="1">
      <c r="A49" s="824">
        <v>35</v>
      </c>
      <c r="B49" s="824"/>
      <c r="C49" s="637" t="s">
        <v>809</v>
      </c>
      <c r="D49" s="638"/>
      <c r="E49" s="638"/>
      <c r="F49" s="638"/>
      <c r="G49" s="638"/>
      <c r="H49" s="638"/>
      <c r="I49" s="638"/>
      <c r="J49" s="638"/>
      <c r="K49" s="638"/>
      <c r="L49" s="639"/>
      <c r="M49" s="637" t="s">
        <v>148</v>
      </c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9"/>
    </row>
    <row r="50" spans="1:33" ht="21" customHeight="1">
      <c r="A50" s="824">
        <v>36</v>
      </c>
      <c r="B50" s="824"/>
      <c r="C50" s="637" t="s">
        <v>809</v>
      </c>
      <c r="D50" s="638"/>
      <c r="E50" s="638"/>
      <c r="F50" s="638"/>
      <c r="G50" s="638"/>
      <c r="H50" s="638"/>
      <c r="I50" s="638"/>
      <c r="J50" s="638"/>
      <c r="K50" s="638"/>
      <c r="L50" s="639"/>
      <c r="M50" s="637" t="s">
        <v>159</v>
      </c>
      <c r="N50" s="638"/>
      <c r="O50" s="638"/>
      <c r="P50" s="638"/>
      <c r="Q50" s="638"/>
      <c r="R50" s="638"/>
      <c r="S50" s="638"/>
      <c r="T50" s="638"/>
      <c r="U50" s="638"/>
      <c r="V50" s="638"/>
      <c r="W50" s="638"/>
      <c r="X50" s="638"/>
      <c r="Y50" s="638"/>
      <c r="Z50" s="638"/>
      <c r="AA50" s="638"/>
      <c r="AB50" s="638"/>
      <c r="AC50" s="638"/>
      <c r="AD50" s="638"/>
      <c r="AE50" s="638"/>
      <c r="AF50" s="638"/>
      <c r="AG50" s="639"/>
    </row>
    <row r="51" spans="1:33" ht="49.5" customHeight="1">
      <c r="A51" s="824">
        <v>37</v>
      </c>
      <c r="B51" s="824"/>
      <c r="C51" s="637" t="s">
        <v>821</v>
      </c>
      <c r="D51" s="638"/>
      <c r="E51" s="638"/>
      <c r="F51" s="638"/>
      <c r="G51" s="638"/>
      <c r="H51" s="638"/>
      <c r="I51" s="638"/>
      <c r="J51" s="638"/>
      <c r="K51" s="638"/>
      <c r="L51" s="639"/>
      <c r="M51" s="637" t="s">
        <v>153</v>
      </c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9"/>
    </row>
    <row r="52" spans="1:33" ht="32.25" customHeight="1">
      <c r="A52" s="824">
        <v>38</v>
      </c>
      <c r="B52" s="824"/>
      <c r="C52" s="637" t="s">
        <v>821</v>
      </c>
      <c r="D52" s="638"/>
      <c r="E52" s="638"/>
      <c r="F52" s="638"/>
      <c r="G52" s="638"/>
      <c r="H52" s="638"/>
      <c r="I52" s="638"/>
      <c r="J52" s="638"/>
      <c r="K52" s="638"/>
      <c r="L52" s="639"/>
      <c r="M52" s="637" t="s">
        <v>148</v>
      </c>
      <c r="N52" s="638"/>
      <c r="O52" s="638"/>
      <c r="P52" s="638"/>
      <c r="Q52" s="638"/>
      <c r="R52" s="638"/>
      <c r="S52" s="638"/>
      <c r="T52" s="638"/>
      <c r="U52" s="638"/>
      <c r="V52" s="638"/>
      <c r="W52" s="638"/>
      <c r="X52" s="638"/>
      <c r="Y52" s="638"/>
      <c r="Z52" s="638"/>
      <c r="AA52" s="638"/>
      <c r="AB52" s="638"/>
      <c r="AC52" s="638"/>
      <c r="AD52" s="638"/>
      <c r="AE52" s="638"/>
      <c r="AF52" s="638"/>
      <c r="AG52" s="639"/>
    </row>
    <row r="53" spans="1:33" ht="33.75" customHeight="1">
      <c r="A53" s="824">
        <v>39</v>
      </c>
      <c r="B53" s="824"/>
      <c r="C53" s="637" t="s">
        <v>821</v>
      </c>
      <c r="D53" s="638"/>
      <c r="E53" s="638"/>
      <c r="F53" s="638"/>
      <c r="G53" s="638"/>
      <c r="H53" s="638"/>
      <c r="I53" s="638"/>
      <c r="J53" s="638"/>
      <c r="K53" s="638"/>
      <c r="L53" s="639"/>
      <c r="M53" s="637" t="s">
        <v>160</v>
      </c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9"/>
    </row>
    <row r="54" spans="1:33" ht="17.25" customHeight="1">
      <c r="A54" s="824">
        <v>40</v>
      </c>
      <c r="B54" s="824"/>
      <c r="C54" s="637" t="s">
        <v>819</v>
      </c>
      <c r="D54" s="638"/>
      <c r="E54" s="638"/>
      <c r="F54" s="638"/>
      <c r="G54" s="638"/>
      <c r="H54" s="638"/>
      <c r="I54" s="638"/>
      <c r="J54" s="638"/>
      <c r="K54" s="638"/>
      <c r="L54" s="639"/>
      <c r="M54" s="637" t="s">
        <v>161</v>
      </c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9"/>
    </row>
    <row r="55" spans="1:33" ht="49.5" customHeight="1">
      <c r="A55" s="824">
        <v>41</v>
      </c>
      <c r="B55" s="824"/>
      <c r="C55" s="637" t="s">
        <v>819</v>
      </c>
      <c r="D55" s="638"/>
      <c r="E55" s="638"/>
      <c r="F55" s="638"/>
      <c r="G55" s="638"/>
      <c r="H55" s="638"/>
      <c r="I55" s="638"/>
      <c r="J55" s="638"/>
      <c r="K55" s="638"/>
      <c r="L55" s="639"/>
      <c r="M55" s="637" t="s">
        <v>153</v>
      </c>
      <c r="N55" s="638"/>
      <c r="O55" s="638"/>
      <c r="P55" s="638"/>
      <c r="Q55" s="638"/>
      <c r="R55" s="638"/>
      <c r="S55" s="638"/>
      <c r="T55" s="638"/>
      <c r="U55" s="638"/>
      <c r="V55" s="638"/>
      <c r="W55" s="638"/>
      <c r="X55" s="638"/>
      <c r="Y55" s="638"/>
      <c r="Z55" s="638"/>
      <c r="AA55" s="638"/>
      <c r="AB55" s="638"/>
      <c r="AC55" s="638"/>
      <c r="AD55" s="638"/>
      <c r="AE55" s="638"/>
      <c r="AF55" s="638"/>
      <c r="AG55" s="639"/>
    </row>
    <row r="56" spans="1:33" ht="37.5" customHeight="1">
      <c r="A56" s="824">
        <v>42</v>
      </c>
      <c r="B56" s="824"/>
      <c r="C56" s="637" t="s">
        <v>819</v>
      </c>
      <c r="D56" s="638"/>
      <c r="E56" s="638"/>
      <c r="F56" s="638"/>
      <c r="G56" s="638"/>
      <c r="H56" s="638"/>
      <c r="I56" s="638"/>
      <c r="J56" s="638"/>
      <c r="K56" s="638"/>
      <c r="L56" s="639"/>
      <c r="M56" s="637" t="s">
        <v>148</v>
      </c>
      <c r="N56" s="638"/>
      <c r="O56" s="638"/>
      <c r="P56" s="638"/>
      <c r="Q56" s="638"/>
      <c r="R56" s="638"/>
      <c r="S56" s="638"/>
      <c r="T56" s="638"/>
      <c r="U56" s="638"/>
      <c r="V56" s="638"/>
      <c r="W56" s="638"/>
      <c r="X56" s="638"/>
      <c r="Y56" s="638"/>
      <c r="Z56" s="638"/>
      <c r="AA56" s="638"/>
      <c r="AB56" s="638"/>
      <c r="AC56" s="638"/>
      <c r="AD56" s="638"/>
      <c r="AE56" s="638"/>
      <c r="AF56" s="638"/>
      <c r="AG56" s="639"/>
    </row>
    <row r="57" spans="1:33" ht="19.5" customHeight="1">
      <c r="A57" s="840" t="s">
        <v>162</v>
      </c>
      <c r="B57" s="841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3"/>
    </row>
    <row r="58" spans="1:33" ht="52.5" customHeight="1">
      <c r="A58" s="824">
        <v>43</v>
      </c>
      <c r="B58" s="824"/>
      <c r="C58" s="637" t="s">
        <v>139</v>
      </c>
      <c r="D58" s="814"/>
      <c r="E58" s="814"/>
      <c r="F58" s="814"/>
      <c r="G58" s="814"/>
      <c r="H58" s="814"/>
      <c r="I58" s="814"/>
      <c r="J58" s="814"/>
      <c r="K58" s="814"/>
      <c r="L58" s="815"/>
      <c r="M58" s="637" t="s">
        <v>163</v>
      </c>
      <c r="N58" s="638"/>
      <c r="O58" s="638"/>
      <c r="P58" s="638"/>
      <c r="Q58" s="638"/>
      <c r="R58" s="638"/>
      <c r="S58" s="638"/>
      <c r="T58" s="638"/>
      <c r="U58" s="638"/>
      <c r="V58" s="638"/>
      <c r="W58" s="638"/>
      <c r="X58" s="638"/>
      <c r="Y58" s="638"/>
      <c r="Z58" s="638"/>
      <c r="AA58" s="638"/>
      <c r="AB58" s="638"/>
      <c r="AC58" s="638"/>
      <c r="AD58" s="638"/>
      <c r="AE58" s="638"/>
      <c r="AF58" s="638"/>
      <c r="AG58" s="639"/>
    </row>
    <row r="59" spans="1:33" ht="19.5" customHeight="1">
      <c r="A59" s="840" t="s">
        <v>164</v>
      </c>
      <c r="B59" s="841"/>
      <c r="C59" s="842"/>
      <c r="D59" s="842"/>
      <c r="E59" s="842"/>
      <c r="F59" s="842"/>
      <c r="G59" s="842"/>
      <c r="H59" s="842"/>
      <c r="I59" s="842"/>
      <c r="J59" s="842"/>
      <c r="K59" s="842"/>
      <c r="L59" s="842"/>
      <c r="M59" s="842"/>
      <c r="N59" s="842"/>
      <c r="O59" s="842"/>
      <c r="P59" s="842"/>
      <c r="Q59" s="842"/>
      <c r="R59" s="842"/>
      <c r="S59" s="842"/>
      <c r="T59" s="842"/>
      <c r="U59" s="842"/>
      <c r="V59" s="842"/>
      <c r="W59" s="842"/>
      <c r="X59" s="842"/>
      <c r="Y59" s="842"/>
      <c r="Z59" s="842"/>
      <c r="AA59" s="842"/>
      <c r="AB59" s="842"/>
      <c r="AC59" s="842"/>
      <c r="AD59" s="842"/>
      <c r="AE59" s="842"/>
      <c r="AF59" s="842"/>
      <c r="AG59" s="843"/>
    </row>
    <row r="60" spans="1:33" ht="96.75" customHeight="1">
      <c r="A60" s="824">
        <v>44</v>
      </c>
      <c r="B60" s="824"/>
      <c r="C60" s="620" t="s">
        <v>137</v>
      </c>
      <c r="D60" s="825"/>
      <c r="E60" s="825"/>
      <c r="F60" s="825"/>
      <c r="G60" s="825"/>
      <c r="H60" s="825"/>
      <c r="I60" s="825"/>
      <c r="J60" s="825"/>
      <c r="K60" s="825"/>
      <c r="L60" s="825"/>
      <c r="M60" s="620" t="s">
        <v>165</v>
      </c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20"/>
      <c r="AF60" s="620"/>
      <c r="AG60" s="620"/>
    </row>
    <row r="61" spans="1:33" ht="21" customHeight="1">
      <c r="A61" s="824">
        <v>45</v>
      </c>
      <c r="B61" s="824"/>
      <c r="C61" s="637" t="s">
        <v>166</v>
      </c>
      <c r="D61" s="638"/>
      <c r="E61" s="638"/>
      <c r="F61" s="638"/>
      <c r="G61" s="638"/>
      <c r="H61" s="638"/>
      <c r="I61" s="638"/>
      <c r="J61" s="638"/>
      <c r="K61" s="638"/>
      <c r="L61" s="639"/>
      <c r="M61" s="637" t="s">
        <v>167</v>
      </c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9"/>
    </row>
    <row r="62" spans="1:33" ht="42.75" customHeight="1">
      <c r="A62" s="824">
        <v>46</v>
      </c>
      <c r="B62" s="824"/>
      <c r="C62" s="637" t="s">
        <v>168</v>
      </c>
      <c r="D62" s="814"/>
      <c r="E62" s="814"/>
      <c r="F62" s="814"/>
      <c r="G62" s="814"/>
      <c r="H62" s="814"/>
      <c r="I62" s="814"/>
      <c r="J62" s="814"/>
      <c r="K62" s="814"/>
      <c r="L62" s="815"/>
      <c r="M62" s="637" t="s">
        <v>169</v>
      </c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8"/>
      <c r="AA62" s="638"/>
      <c r="AB62" s="638"/>
      <c r="AC62" s="638"/>
      <c r="AD62" s="638"/>
      <c r="AE62" s="638"/>
      <c r="AF62" s="638"/>
      <c r="AG62" s="639"/>
    </row>
    <row r="63" spans="1:33" ht="38.25" customHeight="1">
      <c r="A63" s="824">
        <v>47</v>
      </c>
      <c r="B63" s="824"/>
      <c r="C63" s="637" t="s">
        <v>168</v>
      </c>
      <c r="D63" s="814"/>
      <c r="E63" s="814"/>
      <c r="F63" s="814"/>
      <c r="G63" s="814"/>
      <c r="H63" s="814"/>
      <c r="I63" s="814"/>
      <c r="J63" s="814"/>
      <c r="K63" s="814"/>
      <c r="L63" s="815"/>
      <c r="M63" s="637" t="s">
        <v>170</v>
      </c>
      <c r="N63" s="638"/>
      <c r="O63" s="638"/>
      <c r="P63" s="638"/>
      <c r="Q63" s="638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638"/>
      <c r="AE63" s="638"/>
      <c r="AF63" s="638"/>
      <c r="AG63" s="639"/>
    </row>
    <row r="64" spans="1:33" ht="286.5" customHeight="1">
      <c r="A64" s="824">
        <v>48</v>
      </c>
      <c r="B64" s="824"/>
      <c r="C64" s="637" t="s">
        <v>171</v>
      </c>
      <c r="D64" s="814"/>
      <c r="E64" s="814"/>
      <c r="F64" s="814"/>
      <c r="G64" s="814"/>
      <c r="H64" s="814"/>
      <c r="I64" s="814"/>
      <c r="J64" s="814"/>
      <c r="K64" s="814"/>
      <c r="L64" s="815"/>
      <c r="M64" s="637" t="s">
        <v>172</v>
      </c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9"/>
    </row>
    <row r="65" spans="1:33" ht="65.25" customHeight="1">
      <c r="A65" s="824">
        <v>49</v>
      </c>
      <c r="B65" s="824"/>
      <c r="C65" s="637" t="s">
        <v>173</v>
      </c>
      <c r="D65" s="814"/>
      <c r="E65" s="814"/>
      <c r="F65" s="814"/>
      <c r="G65" s="814"/>
      <c r="H65" s="814"/>
      <c r="I65" s="814"/>
      <c r="J65" s="814"/>
      <c r="K65" s="814"/>
      <c r="L65" s="815"/>
      <c r="M65" s="637" t="s">
        <v>174</v>
      </c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  <c r="AB65" s="638"/>
      <c r="AC65" s="638"/>
      <c r="AD65" s="638"/>
      <c r="AE65" s="638"/>
      <c r="AF65" s="638"/>
      <c r="AG65" s="639"/>
    </row>
    <row r="66" spans="1:33" ht="24" customHeight="1">
      <c r="A66" s="824">
        <v>50</v>
      </c>
      <c r="B66" s="824"/>
      <c r="C66" s="637" t="s">
        <v>175</v>
      </c>
      <c r="D66" s="814"/>
      <c r="E66" s="814"/>
      <c r="F66" s="814"/>
      <c r="G66" s="814"/>
      <c r="H66" s="814"/>
      <c r="I66" s="814"/>
      <c r="J66" s="814"/>
      <c r="K66" s="814"/>
      <c r="L66" s="815"/>
      <c r="M66" s="637" t="s">
        <v>176</v>
      </c>
      <c r="N66" s="638"/>
      <c r="O66" s="638"/>
      <c r="P66" s="638"/>
      <c r="Q66" s="638"/>
      <c r="R66" s="638"/>
      <c r="S66" s="638"/>
      <c r="T66" s="638"/>
      <c r="U66" s="638"/>
      <c r="V66" s="638"/>
      <c r="W66" s="638"/>
      <c r="X66" s="638"/>
      <c r="Y66" s="638"/>
      <c r="Z66" s="638"/>
      <c r="AA66" s="638"/>
      <c r="AB66" s="638"/>
      <c r="AC66" s="638"/>
      <c r="AD66" s="638"/>
      <c r="AE66" s="638"/>
      <c r="AF66" s="638"/>
      <c r="AG66" s="639"/>
    </row>
    <row r="67" spans="1:33" ht="21.75" customHeight="1">
      <c r="A67" s="847" t="s">
        <v>177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48"/>
      <c r="AA67" s="848"/>
      <c r="AB67" s="848"/>
      <c r="AC67" s="848"/>
      <c r="AD67" s="848"/>
      <c r="AE67" s="848"/>
      <c r="AF67" s="848"/>
      <c r="AG67" s="849"/>
    </row>
    <row r="68" spans="1:33" ht="65.25" customHeight="1">
      <c r="A68" s="824">
        <v>51</v>
      </c>
      <c r="B68" s="824"/>
      <c r="C68" s="637" t="s">
        <v>177</v>
      </c>
      <c r="D68" s="814"/>
      <c r="E68" s="814"/>
      <c r="F68" s="814"/>
      <c r="G68" s="814"/>
      <c r="H68" s="814"/>
      <c r="I68" s="814"/>
      <c r="J68" s="814"/>
      <c r="K68" s="814"/>
      <c r="L68" s="815"/>
      <c r="M68" s="637" t="s">
        <v>178</v>
      </c>
      <c r="N68" s="638"/>
      <c r="O68" s="638"/>
      <c r="P68" s="638"/>
      <c r="Q68" s="638"/>
      <c r="R68" s="638"/>
      <c r="S68" s="638"/>
      <c r="T68" s="638"/>
      <c r="U68" s="638"/>
      <c r="V68" s="638"/>
      <c r="W68" s="638"/>
      <c r="X68" s="638"/>
      <c r="Y68" s="638"/>
      <c r="Z68" s="638"/>
      <c r="AA68" s="638"/>
      <c r="AB68" s="638"/>
      <c r="AC68" s="638"/>
      <c r="AD68" s="638"/>
      <c r="AE68" s="638"/>
      <c r="AF68" s="638"/>
      <c r="AG68" s="639"/>
    </row>
    <row r="69" spans="1:33" ht="15.7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</row>
    <row r="70" spans="1:33" ht="15.75">
      <c r="A70" s="844" t="s">
        <v>179</v>
      </c>
      <c r="B70" s="845"/>
      <c r="C70" s="845"/>
      <c r="D70" s="845"/>
      <c r="E70" s="845"/>
      <c r="F70" s="845"/>
      <c r="G70" s="845"/>
      <c r="H70" s="845"/>
      <c r="I70" s="846" t="s">
        <v>180</v>
      </c>
      <c r="J70" s="846"/>
      <c r="K70" s="846"/>
      <c r="L70" s="846"/>
      <c r="M70" s="846"/>
      <c r="N70" s="846"/>
      <c r="O70" s="846"/>
      <c r="P70" s="156"/>
      <c r="Q70" s="846"/>
      <c r="R70" s="846"/>
      <c r="S70" s="846"/>
      <c r="T70" s="846"/>
      <c r="U70" s="846"/>
      <c r="V70" s="846"/>
      <c r="W70" s="846"/>
      <c r="X70" s="156"/>
      <c r="Y70" s="846" t="str">
        <f ca="1">'Исходник '!B12</f>
        <v>Евдокимов А.О.</v>
      </c>
      <c r="Z70" s="846"/>
      <c r="AA70" s="846"/>
      <c r="AB70" s="846"/>
      <c r="AC70" s="846"/>
      <c r="AD70" s="846"/>
      <c r="AE70" s="846"/>
      <c r="AF70" s="791"/>
      <c r="AG70" s="156"/>
    </row>
    <row r="71" spans="1:33" ht="8.25" customHeight="1">
      <c r="A71" s="156"/>
      <c r="B71" s="156"/>
      <c r="C71" s="156"/>
      <c r="D71" s="156"/>
      <c r="E71" s="156"/>
      <c r="F71" s="156"/>
      <c r="G71" s="156"/>
      <c r="H71" s="156"/>
      <c r="I71" s="606" t="s">
        <v>751</v>
      </c>
      <c r="J71" s="606"/>
      <c r="K71" s="606"/>
      <c r="L71" s="606"/>
      <c r="M71" s="606"/>
      <c r="N71" s="606"/>
      <c r="O71" s="606"/>
      <c r="P71" s="156"/>
      <c r="Q71" s="606" t="s">
        <v>653</v>
      </c>
      <c r="R71" s="606"/>
      <c r="S71" s="606"/>
      <c r="T71" s="606"/>
      <c r="U71" s="606"/>
      <c r="V71" s="606"/>
      <c r="W71" s="606"/>
      <c r="X71" s="156"/>
      <c r="Y71" s="606" t="s">
        <v>791</v>
      </c>
      <c r="Z71" s="606"/>
      <c r="AA71" s="606"/>
      <c r="AB71" s="606"/>
      <c r="AC71" s="606"/>
      <c r="AD71" s="606"/>
      <c r="AE71" s="606"/>
      <c r="AF71" s="606"/>
      <c r="AG71" s="156"/>
    </row>
    <row r="72" spans="1:33" ht="15.75">
      <c r="A72" s="5"/>
      <c r="B72" s="5"/>
      <c r="C72" s="5"/>
      <c r="D72" s="5"/>
      <c r="E72" s="5"/>
      <c r="F72" s="5"/>
      <c r="G72" s="5"/>
      <c r="H72" s="5"/>
      <c r="I72" s="508" t="s">
        <v>792</v>
      </c>
      <c r="J72" s="508"/>
      <c r="K72" s="508"/>
      <c r="L72" s="508"/>
      <c r="M72" s="508"/>
      <c r="N72" s="508"/>
      <c r="O72" s="508"/>
      <c r="P72" s="5"/>
      <c r="Q72" s="508"/>
      <c r="R72" s="508"/>
      <c r="S72" s="508"/>
      <c r="T72" s="508"/>
      <c r="U72" s="508"/>
      <c r="V72" s="508"/>
      <c r="W72" s="508"/>
      <c r="X72" s="5"/>
      <c r="Y72" s="508" t="str">
        <f ca="1">'Исходник '!B13</f>
        <v>Кокшаров С.В.</v>
      </c>
      <c r="Z72" s="508"/>
      <c r="AA72" s="508"/>
      <c r="AB72" s="508"/>
      <c r="AC72" s="508"/>
      <c r="AD72" s="508"/>
      <c r="AE72" s="508"/>
      <c r="AF72" s="727"/>
      <c r="AG72" s="5"/>
    </row>
    <row r="73" spans="1:33" ht="9" customHeight="1">
      <c r="A73" s="156"/>
      <c r="B73" s="156"/>
      <c r="C73" s="156"/>
      <c r="D73" s="156"/>
      <c r="E73" s="156"/>
      <c r="F73" s="156"/>
      <c r="G73" s="156"/>
      <c r="H73" s="156"/>
      <c r="I73" s="606" t="s">
        <v>751</v>
      </c>
      <c r="J73" s="606"/>
      <c r="K73" s="606"/>
      <c r="L73" s="606"/>
      <c r="M73" s="606"/>
      <c r="N73" s="606"/>
      <c r="O73" s="606"/>
      <c r="P73" s="156"/>
      <c r="Q73" s="606" t="s">
        <v>653</v>
      </c>
      <c r="R73" s="606"/>
      <c r="S73" s="606"/>
      <c r="T73" s="606"/>
      <c r="U73" s="606"/>
      <c r="V73" s="606"/>
      <c r="W73" s="606"/>
      <c r="X73" s="156"/>
      <c r="Y73" s="606" t="s">
        <v>791</v>
      </c>
      <c r="Z73" s="606"/>
      <c r="AA73" s="606"/>
      <c r="AB73" s="606"/>
      <c r="AC73" s="606"/>
      <c r="AD73" s="606"/>
      <c r="AE73" s="606"/>
      <c r="AF73" s="852"/>
      <c r="AG73" s="156"/>
    </row>
    <row r="74" spans="1:33" ht="31.5" customHeight="1">
      <c r="A74" s="850" t="s">
        <v>181</v>
      </c>
      <c r="B74" s="851"/>
      <c r="C74" s="851"/>
      <c r="D74" s="851"/>
      <c r="E74" s="851"/>
      <c r="F74" s="851"/>
      <c r="G74" s="851"/>
      <c r="H74" s="851"/>
      <c r="I74" s="508" t="s">
        <v>180</v>
      </c>
      <c r="J74" s="508"/>
      <c r="K74" s="508"/>
      <c r="L74" s="508"/>
      <c r="M74" s="508"/>
      <c r="N74" s="508"/>
      <c r="O74" s="508"/>
      <c r="P74" s="156"/>
      <c r="Q74" s="846"/>
      <c r="R74" s="846"/>
      <c r="S74" s="846"/>
      <c r="T74" s="846"/>
      <c r="U74" s="846"/>
      <c r="V74" s="846"/>
      <c r="W74" s="846"/>
      <c r="X74" s="156"/>
      <c r="Y74" s="508" t="str">
        <f ca="1">'Исходник '!B12</f>
        <v>Евдокимов А.О.</v>
      </c>
      <c r="Z74" s="508"/>
      <c r="AA74" s="508"/>
      <c r="AB74" s="508"/>
      <c r="AC74" s="508"/>
      <c r="AD74" s="508"/>
      <c r="AE74" s="508"/>
      <c r="AF74" s="727"/>
      <c r="AG74" s="156"/>
    </row>
    <row r="75" spans="1:33" ht="15.75">
      <c r="A75" s="156"/>
      <c r="B75" s="156"/>
      <c r="C75" s="156"/>
      <c r="D75" s="156"/>
      <c r="E75" s="156"/>
      <c r="F75" s="156"/>
      <c r="G75" s="156"/>
      <c r="H75" s="156"/>
      <c r="I75" s="606" t="s">
        <v>751</v>
      </c>
      <c r="J75" s="606"/>
      <c r="K75" s="606"/>
      <c r="L75" s="606"/>
      <c r="M75" s="606"/>
      <c r="N75" s="606"/>
      <c r="O75" s="606"/>
      <c r="P75" s="156"/>
      <c r="Q75" s="606" t="s">
        <v>653</v>
      </c>
      <c r="R75" s="606"/>
      <c r="S75" s="606"/>
      <c r="T75" s="606"/>
      <c r="U75" s="606"/>
      <c r="V75" s="606"/>
      <c r="W75" s="606"/>
      <c r="X75" s="156"/>
      <c r="Y75" s="606" t="s">
        <v>791</v>
      </c>
      <c r="Z75" s="606"/>
      <c r="AA75" s="606"/>
      <c r="AB75" s="606"/>
      <c r="AC75" s="606"/>
      <c r="AD75" s="606"/>
      <c r="AE75" s="606"/>
      <c r="AF75" s="606"/>
      <c r="AG75" s="156"/>
    </row>
    <row r="76" spans="1:33" ht="15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</row>
    <row r="77" spans="1:33" ht="15.7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</row>
    <row r="78" spans="1:33" ht="15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</row>
    <row r="79" spans="1:33" ht="15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</row>
    <row r="80" spans="1:33" ht="15.7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</row>
    <row r="81" spans="1:33" ht="15.7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</row>
  </sheetData>
  <mergeCells count="191">
    <mergeCell ref="I72:O72"/>
    <mergeCell ref="Q72:W72"/>
    <mergeCell ref="Y72:AF72"/>
    <mergeCell ref="I73:O73"/>
    <mergeCell ref="Q73:W73"/>
    <mergeCell ref="Y73:AF73"/>
    <mergeCell ref="A74:H74"/>
    <mergeCell ref="I74:O74"/>
    <mergeCell ref="Q74:W74"/>
    <mergeCell ref="Y74:AF74"/>
    <mergeCell ref="I75:O75"/>
    <mergeCell ref="Q75:W75"/>
    <mergeCell ref="Y75:AF75"/>
    <mergeCell ref="A70:H70"/>
    <mergeCell ref="I70:O70"/>
    <mergeCell ref="Q70:W70"/>
    <mergeCell ref="Y70:AF70"/>
    <mergeCell ref="A67:AG67"/>
    <mergeCell ref="A68:B68"/>
    <mergeCell ref="C68:L68"/>
    <mergeCell ref="M68:AG68"/>
    <mergeCell ref="I71:O71"/>
    <mergeCell ref="Q71:W71"/>
    <mergeCell ref="Y71:AF71"/>
    <mergeCell ref="A64:B64"/>
    <mergeCell ref="C64:L64"/>
    <mergeCell ref="M64:AG64"/>
    <mergeCell ref="A65:B65"/>
    <mergeCell ref="C65:L65"/>
    <mergeCell ref="M65:AG65"/>
    <mergeCell ref="A66:B66"/>
    <mergeCell ref="C66:L66"/>
    <mergeCell ref="M66:AG66"/>
    <mergeCell ref="A61:B61"/>
    <mergeCell ref="C61:L61"/>
    <mergeCell ref="M61:AG61"/>
    <mergeCell ref="A62:B62"/>
    <mergeCell ref="C62:L62"/>
    <mergeCell ref="M62:AG62"/>
    <mergeCell ref="A63:B63"/>
    <mergeCell ref="C63:L63"/>
    <mergeCell ref="M63:AG63"/>
    <mergeCell ref="A56:B56"/>
    <mergeCell ref="C56:L56"/>
    <mergeCell ref="M56:AG56"/>
    <mergeCell ref="A57:AG57"/>
    <mergeCell ref="A58:B58"/>
    <mergeCell ref="C58:L58"/>
    <mergeCell ref="M58:AG58"/>
    <mergeCell ref="A59:AG59"/>
    <mergeCell ref="A60:B60"/>
    <mergeCell ref="C60:L60"/>
    <mergeCell ref="M60:AG60"/>
    <mergeCell ref="A53:B53"/>
    <mergeCell ref="C53:L53"/>
    <mergeCell ref="M53:AG53"/>
    <mergeCell ref="A54:B54"/>
    <mergeCell ref="C54:L54"/>
    <mergeCell ref="M54:AG54"/>
    <mergeCell ref="A55:B55"/>
    <mergeCell ref="C55:L55"/>
    <mergeCell ref="M55:AG55"/>
    <mergeCell ref="A50:B50"/>
    <mergeCell ref="C50:L50"/>
    <mergeCell ref="M50:AG50"/>
    <mergeCell ref="A51:B51"/>
    <mergeCell ref="C51:L51"/>
    <mergeCell ref="M51:AG51"/>
    <mergeCell ref="A52:B52"/>
    <mergeCell ref="C52:L52"/>
    <mergeCell ref="M52:AG52"/>
    <mergeCell ref="A47:B47"/>
    <mergeCell ref="C47:L47"/>
    <mergeCell ref="M47:AG47"/>
    <mergeCell ref="A48:B48"/>
    <mergeCell ref="C48:L48"/>
    <mergeCell ref="M48:AG48"/>
    <mergeCell ref="A49:B49"/>
    <mergeCell ref="C49:L49"/>
    <mergeCell ref="M49:AG49"/>
    <mergeCell ref="A43:B43"/>
    <mergeCell ref="C43:L43"/>
    <mergeCell ref="M43:AG43"/>
    <mergeCell ref="A44:AG44"/>
    <mergeCell ref="A45:B45"/>
    <mergeCell ref="C45:L45"/>
    <mergeCell ref="M45:AG45"/>
    <mergeCell ref="A46:B46"/>
    <mergeCell ref="C46:L46"/>
    <mergeCell ref="M46:AG46"/>
    <mergeCell ref="A40:B40"/>
    <mergeCell ref="C40:L40"/>
    <mergeCell ref="M40:AG40"/>
    <mergeCell ref="A41:B41"/>
    <mergeCell ref="C41:L41"/>
    <mergeCell ref="M41:AG41"/>
    <mergeCell ref="A42:B42"/>
    <mergeCell ref="C42:L42"/>
    <mergeCell ref="M42:AG42"/>
    <mergeCell ref="A37:B37"/>
    <mergeCell ref="C37:L37"/>
    <mergeCell ref="M37:AG37"/>
    <mergeCell ref="A38:B38"/>
    <mergeCell ref="C38:L38"/>
    <mergeCell ref="M38:AG38"/>
    <mergeCell ref="A39:B39"/>
    <mergeCell ref="C39:L39"/>
    <mergeCell ref="M39:AG39"/>
    <mergeCell ref="A34:B34"/>
    <mergeCell ref="C34:L34"/>
    <mergeCell ref="M34:AG34"/>
    <mergeCell ref="A35:B35"/>
    <mergeCell ref="C35:L35"/>
    <mergeCell ref="M35:AG35"/>
    <mergeCell ref="A36:B36"/>
    <mergeCell ref="C36:L36"/>
    <mergeCell ref="M36:AG36"/>
    <mergeCell ref="A31:B31"/>
    <mergeCell ref="C31:L31"/>
    <mergeCell ref="M31:AG31"/>
    <mergeCell ref="A32:B32"/>
    <mergeCell ref="C32:L32"/>
    <mergeCell ref="M32:AG32"/>
    <mergeCell ref="A33:B33"/>
    <mergeCell ref="C33:L33"/>
    <mergeCell ref="M33:AG33"/>
    <mergeCell ref="A28:B28"/>
    <mergeCell ref="C28:L28"/>
    <mergeCell ref="M28:AG28"/>
    <mergeCell ref="A29:B29"/>
    <mergeCell ref="C29:L29"/>
    <mergeCell ref="M29:AG29"/>
    <mergeCell ref="A30:B30"/>
    <mergeCell ref="C30:L30"/>
    <mergeCell ref="M30:AG30"/>
    <mergeCell ref="A25:B25"/>
    <mergeCell ref="C25:L25"/>
    <mergeCell ref="M25:AG25"/>
    <mergeCell ref="A26:B26"/>
    <mergeCell ref="C26:L26"/>
    <mergeCell ref="M26:AG26"/>
    <mergeCell ref="A27:B27"/>
    <mergeCell ref="C27:L27"/>
    <mergeCell ref="M27:AG27"/>
    <mergeCell ref="A22:B22"/>
    <mergeCell ref="C22:L22"/>
    <mergeCell ref="M22:AG22"/>
    <mergeCell ref="A23:B23"/>
    <mergeCell ref="C23:L23"/>
    <mergeCell ref="M23:AG23"/>
    <mergeCell ref="A24:B24"/>
    <mergeCell ref="C24:L24"/>
    <mergeCell ref="M24:AG24"/>
    <mergeCell ref="C17:L17"/>
    <mergeCell ref="M17:AG17"/>
    <mergeCell ref="A19:B19"/>
    <mergeCell ref="C19:L19"/>
    <mergeCell ref="M19:AG19"/>
    <mergeCell ref="A20:B20"/>
    <mergeCell ref="C20:L20"/>
    <mergeCell ref="M20:AG20"/>
    <mergeCell ref="M13:AG13"/>
    <mergeCell ref="A14:B14"/>
    <mergeCell ref="A21:B21"/>
    <mergeCell ref="C21:L21"/>
    <mergeCell ref="M21:AG21"/>
    <mergeCell ref="A15:AG15"/>
    <mergeCell ref="A16:B16"/>
    <mergeCell ref="C16:L16"/>
    <mergeCell ref="M16:AG16"/>
    <mergeCell ref="A17:B17"/>
    <mergeCell ref="A6:AG6"/>
    <mergeCell ref="A11:B11"/>
    <mergeCell ref="A18:B18"/>
    <mergeCell ref="C18:L18"/>
    <mergeCell ref="M18:AG18"/>
    <mergeCell ref="A12:B12"/>
    <mergeCell ref="C12:L12"/>
    <mergeCell ref="M12:AG12"/>
    <mergeCell ref="A13:B13"/>
    <mergeCell ref="C13:L13"/>
    <mergeCell ref="C11:L11"/>
    <mergeCell ref="M11:AG11"/>
    <mergeCell ref="C14:L14"/>
    <mergeCell ref="M14:AG14"/>
    <mergeCell ref="A1:I1"/>
    <mergeCell ref="T1:AG1"/>
    <mergeCell ref="A2:I2"/>
    <mergeCell ref="T2:AG2"/>
    <mergeCell ref="S3:AG3"/>
    <mergeCell ref="A4:N4"/>
  </mergeCells>
  <phoneticPr fontId="0" type="noConversion"/>
  <pageMargins left="0.70833299999999999" right="0.19652800000000001" top="0.370139" bottom="0.57986099999999996" header="0.315278" footer="0.315278"/>
  <pageSetup paperSize="9" fitToWidth="0"/>
  <headerFooter>
    <oddFooter>&amp;CВ.Д. к Т.О. №&amp;F стр.&amp;P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4"/>
  <sheetViews>
    <sheetView topLeftCell="A28" zoomScale="70" workbookViewId="0">
      <selection activeCell="AN20" sqref="AN20"/>
    </sheetView>
  </sheetViews>
  <sheetFormatPr defaultRowHeight="15.75"/>
  <cols>
    <col min="1" max="1" width="5" customWidth="1"/>
    <col min="2" max="2" width="12.5703125" customWidth="1"/>
    <col min="3" max="3" width="7.5703125" customWidth="1"/>
    <col min="4" max="4" width="3.28515625" customWidth="1"/>
    <col min="5" max="5" width="2.85546875" customWidth="1"/>
    <col min="6" max="6" width="1.5703125" customWidth="1"/>
    <col min="7" max="7" width="2.140625" customWidth="1"/>
    <col min="8" max="8" width="2" customWidth="1"/>
    <col min="9" max="9" width="5.140625" customWidth="1"/>
    <col min="10" max="10" width="2.85546875" customWidth="1"/>
    <col min="11" max="11" width="2" customWidth="1"/>
    <col min="12" max="12" width="2.7109375" customWidth="1"/>
    <col min="13" max="13" width="2.42578125" customWidth="1"/>
    <col min="14" max="14" width="2" customWidth="1"/>
    <col min="15" max="15" width="0.85546875" customWidth="1"/>
    <col min="16" max="16" width="3.28515625" customWidth="1"/>
    <col min="17" max="17" width="4.140625" customWidth="1"/>
    <col min="18" max="18" width="3.28515625" customWidth="1"/>
    <col min="19" max="19" width="4.7109375" customWidth="1"/>
    <col min="20" max="20" width="2.5703125" customWidth="1"/>
    <col min="21" max="21" width="4.42578125" customWidth="1"/>
    <col min="22" max="22" width="7.7109375" customWidth="1"/>
    <col min="23" max="23" width="4.140625" customWidth="1"/>
    <col min="24" max="24" width="3.28515625" customWidth="1"/>
    <col min="25" max="25" width="4.7109375" customWidth="1"/>
    <col min="26" max="26" width="2.5703125" customWidth="1"/>
    <col min="27" max="27" width="9.28515625" customWidth="1"/>
    <col min="28" max="29" width="3.28515625" customWidth="1"/>
    <col min="30" max="30" width="4.710937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6" width="2.5703125" customWidth="1"/>
    <col min="37" max="37" width="3.140625" customWidth="1"/>
    <col min="38" max="38" width="3.28515625" customWidth="1"/>
    <col min="39" max="39" width="9.140625" style="6"/>
  </cols>
  <sheetData>
    <row r="1" spans="1:39" s="59" customFormat="1" ht="21" customHeight="1">
      <c r="A1" s="66"/>
      <c r="B1" s="9" t="str">
        <f ca="1">'Исходник '!B3</f>
        <v>ООО «ТМ-Электро»</v>
      </c>
      <c r="C1" s="9"/>
      <c r="D1" s="9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4" t="s">
        <v>489</v>
      </c>
      <c r="R1" s="64"/>
      <c r="S1" s="64"/>
      <c r="T1" s="55"/>
      <c r="U1" s="553">
        <f ca="1">'Исходник '!B19</f>
        <v>0</v>
      </c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554"/>
      <c r="AK1" s="554"/>
      <c r="AL1" s="55"/>
    </row>
    <row r="2" spans="1:39" s="59" customFormat="1" ht="18" customHeight="1">
      <c r="A2" s="66"/>
      <c r="B2" s="278" t="s">
        <v>1</v>
      </c>
      <c r="C2" s="67"/>
      <c r="D2" s="67"/>
      <c r="E2" s="36"/>
      <c r="F2" s="36"/>
      <c r="G2" s="55"/>
      <c r="H2" s="55"/>
      <c r="I2" s="55"/>
      <c r="J2" s="55"/>
      <c r="K2" s="55"/>
      <c r="L2" s="55"/>
      <c r="M2" s="55"/>
      <c r="N2" s="55"/>
      <c r="O2" s="55"/>
      <c r="P2" s="55"/>
      <c r="Q2" s="64" t="s">
        <v>491</v>
      </c>
      <c r="R2" s="262"/>
      <c r="S2" s="262"/>
      <c r="T2" s="55"/>
      <c r="U2" s="603" t="str">
        <f ca="1">'Исходник '!B20</f>
        <v>Фитнес-клуб</v>
      </c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"/>
    </row>
    <row r="3" spans="1:39" s="59" customFormat="1" ht="18" customHeight="1">
      <c r="A3" s="66"/>
      <c r="B3" s="6" t="str">
        <f ca="1">CONCATENATE('Исходник '!A5," ",'Исходник '!B5)</f>
        <v>Свидетельство о регистрации № 6231-2</v>
      </c>
      <c r="C3" s="6"/>
      <c r="D3" s="6"/>
      <c r="E3" s="70"/>
      <c r="F3" s="3"/>
      <c r="G3"/>
      <c r="H3"/>
      <c r="I3"/>
      <c r="J3"/>
      <c r="K3" s="55"/>
      <c r="L3" s="55"/>
      <c r="M3" s="55"/>
      <c r="N3" s="55"/>
      <c r="O3" s="55"/>
      <c r="P3" s="55"/>
      <c r="Q3" s="64" t="s">
        <v>494</v>
      </c>
      <c r="R3" s="262"/>
      <c r="S3" s="55"/>
      <c r="T3" s="266"/>
      <c r="U3" s="553">
        <f ca="1">'Исходник '!B21</f>
        <v>0</v>
      </c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4"/>
      <c r="AK3" s="554"/>
      <c r="AL3" s="55"/>
    </row>
    <row r="4" spans="1:39" s="59" customFormat="1" ht="18" customHeight="1">
      <c r="A4" s="66"/>
      <c r="B4" s="59" t="str">
        <f ca="1">CONCATENATE('Исходник '!A7," ",'Исходник '!B7)</f>
        <v xml:space="preserve">Действительно до «11» января 2022 г. </v>
      </c>
      <c r="E4" s="279"/>
      <c r="F4" s="279"/>
      <c r="G4" s="55"/>
      <c r="H4" s="55"/>
      <c r="I4" s="55"/>
      <c r="J4" s="55"/>
      <c r="K4" s="55"/>
      <c r="L4" s="55"/>
      <c r="M4" s="55"/>
      <c r="N4" s="55"/>
      <c r="O4" s="55"/>
      <c r="P4" s="55"/>
      <c r="Q4" s="64" t="s">
        <v>633</v>
      </c>
      <c r="R4" s="55"/>
      <c r="S4" s="262"/>
      <c r="T4" s="55"/>
      <c r="U4" s="279"/>
      <c r="V4" s="279"/>
      <c r="W4" s="279"/>
      <c r="X4" s="279"/>
      <c r="Y4" s="55"/>
      <c r="Z4" s="603" t="str">
        <f ca="1">'Исходник '!B34</f>
        <v>29 января 2020г.</v>
      </c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"/>
    </row>
    <row r="5" spans="1:39" s="59" customFormat="1" ht="18" customHeight="1">
      <c r="A5" s="517" t="str">
        <f ca="1">CONCATENATE('Исходник '!A16," ",'Исходник '!F14)</f>
        <v>Протокол  №505-9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66"/>
      <c r="AK5" s="55"/>
      <c r="AL5" s="55"/>
    </row>
    <row r="6" spans="1:39" s="59" customFormat="1" ht="18" customHeight="1">
      <c r="A6" s="609" t="s">
        <v>182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09"/>
      <c r="AJ6" s="301"/>
      <c r="AK6" s="55"/>
      <c r="AL6" s="55"/>
    </row>
    <row r="7" spans="1:39" s="59" customFormat="1" ht="18" customHeight="1">
      <c r="A7" s="517" t="s">
        <v>518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66"/>
      <c r="AK7" s="55"/>
      <c r="AL7" s="55"/>
    </row>
    <row r="8" spans="1:39" s="55" customFormat="1" ht="18" customHeight="1">
      <c r="A8" s="76"/>
      <c r="B8" s="580" t="str">
        <f ca="1">'Исходник '!A36</f>
        <v>Температура воздуха:</v>
      </c>
      <c r="C8" s="580"/>
      <c r="D8" s="288">
        <f ca="1">'Исходник '!B36</f>
        <v>21</v>
      </c>
      <c r="E8" s="76" t="s">
        <v>855</v>
      </c>
      <c r="F8" s="580" t="str">
        <f ca="1">'Исходник '!A37</f>
        <v>Влажность воздуха:</v>
      </c>
      <c r="G8" s="554"/>
      <c r="H8" s="554"/>
      <c r="I8" s="554"/>
      <c r="J8" s="554"/>
      <c r="K8" s="853">
        <f ca="1">'Исходник '!B37</f>
        <v>58</v>
      </c>
      <c r="L8" s="854"/>
      <c r="M8" s="854"/>
      <c r="N8" s="289" t="s">
        <v>856</v>
      </c>
      <c r="O8" s="289"/>
      <c r="P8" s="580" t="str">
        <f ca="1">'Исходник '!A38</f>
        <v>Атмосферное давление:</v>
      </c>
      <c r="Q8" s="516"/>
      <c r="R8" s="516"/>
      <c r="S8" s="516"/>
      <c r="T8" s="516"/>
      <c r="U8" s="516"/>
      <c r="V8" s="853">
        <f ca="1">'Исходник '!B38</f>
        <v>741</v>
      </c>
      <c r="W8" s="853"/>
      <c r="X8" s="76" t="s">
        <v>525</v>
      </c>
      <c r="Y8" s="76"/>
      <c r="Z8" s="76"/>
      <c r="AL8" s="59"/>
    </row>
    <row r="9" spans="1:39" s="59" customFormat="1" ht="18" customHeight="1">
      <c r="A9" s="517" t="s">
        <v>857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66"/>
      <c r="AK9" s="55"/>
      <c r="AL9" s="55"/>
    </row>
    <row r="10" spans="1:39" s="59" customFormat="1" ht="18" customHeight="1">
      <c r="A10" s="856" t="str">
        <f ca="1">'Исходник '!B23</f>
        <v>эксплуатационные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302"/>
      <c r="AK10" s="55"/>
      <c r="AL10" s="55"/>
    </row>
    <row r="11" spans="1:39" s="59" customFormat="1" ht="18" customHeight="1">
      <c r="A11" s="715" t="s">
        <v>802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269"/>
      <c r="AK11" s="55"/>
      <c r="AL11" s="55"/>
    </row>
    <row r="12" spans="1:39" s="59" customFormat="1" ht="18" customHeight="1">
      <c r="A12" s="517" t="s">
        <v>858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66"/>
      <c r="AK12" s="55"/>
      <c r="AL12" s="55"/>
    </row>
    <row r="13" spans="1:39" s="59" customFormat="1" ht="18" customHeight="1">
      <c r="A13" s="856" t="s">
        <v>183</v>
      </c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856"/>
      <c r="AI13" s="856"/>
      <c r="AJ13" s="302"/>
      <c r="AK13" s="55"/>
      <c r="AL13" s="55"/>
    </row>
    <row r="14" spans="1:39" s="134" customFormat="1" ht="18" customHeight="1">
      <c r="A14" s="857" t="s">
        <v>184</v>
      </c>
      <c r="B14" s="857"/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218"/>
      <c r="AM14" s="35"/>
    </row>
    <row r="15" spans="1:39" ht="27.95" customHeight="1">
      <c r="A15" s="548" t="s">
        <v>540</v>
      </c>
      <c r="B15" s="665" t="s">
        <v>185</v>
      </c>
      <c r="C15" s="666"/>
      <c r="D15" s="667"/>
      <c r="E15" s="548" t="s">
        <v>8</v>
      </c>
      <c r="F15" s="548"/>
      <c r="G15" s="548"/>
      <c r="H15" s="548"/>
      <c r="I15" s="548"/>
      <c r="J15" s="665" t="s">
        <v>186</v>
      </c>
      <c r="K15" s="666"/>
      <c r="L15" s="666"/>
      <c r="M15" s="666"/>
      <c r="N15" s="666"/>
      <c r="O15" s="667"/>
      <c r="P15" s="665" t="s">
        <v>187</v>
      </c>
      <c r="Q15" s="666"/>
      <c r="R15" s="666"/>
      <c r="S15" s="667"/>
      <c r="T15" s="665" t="s">
        <v>188</v>
      </c>
      <c r="U15" s="666"/>
      <c r="V15" s="666"/>
      <c r="W15" s="666"/>
      <c r="X15" s="666"/>
      <c r="Y15" s="667"/>
      <c r="Z15" s="665" t="s">
        <v>189</v>
      </c>
      <c r="AA15" s="666"/>
      <c r="AB15" s="666"/>
      <c r="AC15" s="666"/>
      <c r="AD15" s="666"/>
      <c r="AE15" s="548" t="s">
        <v>190</v>
      </c>
      <c r="AF15" s="548"/>
      <c r="AG15" s="548"/>
      <c r="AH15" s="548"/>
      <c r="AI15" s="548"/>
      <c r="AJ15" s="858"/>
      <c r="AK15" s="858"/>
    </row>
    <row r="16" spans="1:39" ht="32.25" customHeight="1">
      <c r="A16" s="548"/>
      <c r="B16" s="668"/>
      <c r="C16" s="669"/>
      <c r="D16" s="670"/>
      <c r="E16" s="548"/>
      <c r="F16" s="548"/>
      <c r="G16" s="548"/>
      <c r="H16" s="548"/>
      <c r="I16" s="548"/>
      <c r="J16" s="668"/>
      <c r="K16" s="669"/>
      <c r="L16" s="669"/>
      <c r="M16" s="669"/>
      <c r="N16" s="669"/>
      <c r="O16" s="670"/>
      <c r="P16" s="668"/>
      <c r="Q16" s="669"/>
      <c r="R16" s="669"/>
      <c r="S16" s="670"/>
      <c r="T16" s="562"/>
      <c r="U16" s="563"/>
      <c r="V16" s="563"/>
      <c r="W16" s="563"/>
      <c r="X16" s="563"/>
      <c r="Y16" s="564"/>
      <c r="Z16" s="562"/>
      <c r="AA16" s="563"/>
      <c r="AB16" s="563"/>
      <c r="AC16" s="563"/>
      <c r="AD16" s="563"/>
      <c r="AE16" s="548"/>
      <c r="AF16" s="548"/>
      <c r="AG16" s="548"/>
      <c r="AH16" s="548"/>
      <c r="AI16" s="548"/>
      <c r="AJ16" s="858"/>
      <c r="AK16" s="858"/>
    </row>
    <row r="17" spans="1:43" ht="15.75" customHeight="1">
      <c r="A17" s="548"/>
      <c r="B17" s="668"/>
      <c r="C17" s="669"/>
      <c r="D17" s="670"/>
      <c r="E17" s="548"/>
      <c r="F17" s="548"/>
      <c r="G17" s="548"/>
      <c r="H17" s="548"/>
      <c r="I17" s="548"/>
      <c r="J17" s="668"/>
      <c r="K17" s="669"/>
      <c r="L17" s="669"/>
      <c r="M17" s="669"/>
      <c r="N17" s="669"/>
      <c r="O17" s="670"/>
      <c r="P17" s="668"/>
      <c r="Q17" s="669"/>
      <c r="R17" s="669"/>
      <c r="S17" s="670"/>
      <c r="T17" s="665" t="s">
        <v>191</v>
      </c>
      <c r="U17" s="666"/>
      <c r="V17" s="667"/>
      <c r="W17" s="665" t="s">
        <v>192</v>
      </c>
      <c r="X17" s="666"/>
      <c r="Y17" s="667"/>
      <c r="Z17" s="548" t="s">
        <v>191</v>
      </c>
      <c r="AA17" s="548"/>
      <c r="AB17" s="548" t="s">
        <v>192</v>
      </c>
      <c r="AC17" s="548"/>
      <c r="AD17" s="545"/>
      <c r="AE17" s="548" t="s">
        <v>193</v>
      </c>
      <c r="AF17" s="548"/>
      <c r="AG17" s="548"/>
      <c r="AH17" s="548" t="s">
        <v>192</v>
      </c>
      <c r="AI17" s="548"/>
      <c r="AJ17" s="548"/>
      <c r="AK17" s="548"/>
    </row>
    <row r="18" spans="1:43" ht="15.75" customHeight="1">
      <c r="A18" s="548"/>
      <c r="B18" s="668"/>
      <c r="C18" s="669"/>
      <c r="D18" s="670"/>
      <c r="E18" s="548"/>
      <c r="F18" s="548"/>
      <c r="G18" s="548"/>
      <c r="H18" s="548"/>
      <c r="I18" s="548"/>
      <c r="J18" s="668"/>
      <c r="K18" s="669"/>
      <c r="L18" s="669"/>
      <c r="M18" s="669"/>
      <c r="N18" s="669"/>
      <c r="O18" s="670"/>
      <c r="P18" s="668"/>
      <c r="Q18" s="669"/>
      <c r="R18" s="669"/>
      <c r="S18" s="670"/>
      <c r="T18" s="668"/>
      <c r="U18" s="669"/>
      <c r="V18" s="670"/>
      <c r="W18" s="668"/>
      <c r="X18" s="669"/>
      <c r="Y18" s="670"/>
      <c r="Z18" s="548"/>
      <c r="AA18" s="548"/>
      <c r="AB18" s="548"/>
      <c r="AC18" s="548"/>
      <c r="AD18" s="545"/>
      <c r="AE18" s="548"/>
      <c r="AF18" s="548"/>
      <c r="AG18" s="548"/>
      <c r="AH18" s="548"/>
      <c r="AI18" s="548"/>
      <c r="AJ18" s="548"/>
      <c r="AK18" s="548"/>
    </row>
    <row r="19" spans="1:43" ht="15.75" customHeight="1">
      <c r="A19" s="548"/>
      <c r="B19" s="668"/>
      <c r="C19" s="669"/>
      <c r="D19" s="670"/>
      <c r="E19" s="548"/>
      <c r="F19" s="548"/>
      <c r="G19" s="548"/>
      <c r="H19" s="548"/>
      <c r="I19" s="548"/>
      <c r="J19" s="668"/>
      <c r="K19" s="669"/>
      <c r="L19" s="669"/>
      <c r="M19" s="669"/>
      <c r="N19" s="669"/>
      <c r="O19" s="670"/>
      <c r="P19" s="668"/>
      <c r="Q19" s="669"/>
      <c r="R19" s="669"/>
      <c r="S19" s="670"/>
      <c r="T19" s="668"/>
      <c r="U19" s="669"/>
      <c r="V19" s="670"/>
      <c r="W19" s="668"/>
      <c r="X19" s="669"/>
      <c r="Y19" s="670"/>
      <c r="Z19" s="548"/>
      <c r="AA19" s="548"/>
      <c r="AB19" s="548"/>
      <c r="AC19" s="548"/>
      <c r="AD19" s="545"/>
      <c r="AE19" s="548"/>
      <c r="AF19" s="548"/>
      <c r="AG19" s="548"/>
      <c r="AH19" s="548"/>
      <c r="AI19" s="548"/>
      <c r="AJ19" s="548"/>
      <c r="AK19" s="548"/>
    </row>
    <row r="20" spans="1:43" ht="54.75" customHeight="1">
      <c r="A20" s="548"/>
      <c r="B20" s="562"/>
      <c r="C20" s="563"/>
      <c r="D20" s="564"/>
      <c r="E20" s="548"/>
      <c r="F20" s="548"/>
      <c r="G20" s="548"/>
      <c r="H20" s="548"/>
      <c r="I20" s="548"/>
      <c r="J20" s="562"/>
      <c r="K20" s="563"/>
      <c r="L20" s="563"/>
      <c r="M20" s="563"/>
      <c r="N20" s="563"/>
      <c r="O20" s="564"/>
      <c r="P20" s="562"/>
      <c r="Q20" s="563"/>
      <c r="R20" s="563"/>
      <c r="S20" s="564"/>
      <c r="T20" s="562"/>
      <c r="U20" s="563"/>
      <c r="V20" s="564"/>
      <c r="W20" s="562"/>
      <c r="X20" s="563"/>
      <c r="Y20" s="564"/>
      <c r="Z20" s="548"/>
      <c r="AA20" s="548"/>
      <c r="AB20" s="548"/>
      <c r="AC20" s="548"/>
      <c r="AD20" s="545"/>
      <c r="AE20" s="548"/>
      <c r="AF20" s="548"/>
      <c r="AG20" s="548"/>
      <c r="AH20" s="548"/>
      <c r="AI20" s="548"/>
      <c r="AJ20" s="548"/>
      <c r="AK20" s="548"/>
      <c r="AQ20" s="7"/>
    </row>
    <row r="21" spans="1:43" s="86" customFormat="1" ht="20.100000000000001" customHeight="1">
      <c r="A21" s="174">
        <v>1</v>
      </c>
      <c r="B21" s="175">
        <v>2</v>
      </c>
      <c r="C21" s="246"/>
      <c r="D21" s="246"/>
      <c r="E21" s="246">
        <v>3</v>
      </c>
      <c r="F21" s="247"/>
      <c r="G21" s="247"/>
      <c r="H21" s="247"/>
      <c r="I21" s="248"/>
      <c r="J21" s="768">
        <v>4</v>
      </c>
      <c r="K21" s="769"/>
      <c r="L21" s="769"/>
      <c r="M21" s="546"/>
      <c r="N21" s="546"/>
      <c r="O21" s="547"/>
      <c r="P21" s="768">
        <v>5</v>
      </c>
      <c r="Q21" s="769"/>
      <c r="R21" s="546"/>
      <c r="S21" s="547"/>
      <c r="T21" s="768">
        <v>6</v>
      </c>
      <c r="U21" s="546"/>
      <c r="V21" s="546"/>
      <c r="W21" s="768">
        <v>7</v>
      </c>
      <c r="X21" s="769"/>
      <c r="Y21" s="859"/>
      <c r="Z21" s="735">
        <v>8</v>
      </c>
      <c r="AA21" s="548"/>
      <c r="AB21" s="768">
        <v>9</v>
      </c>
      <c r="AC21" s="546"/>
      <c r="AD21" s="546"/>
      <c r="AE21" s="735">
        <v>10</v>
      </c>
      <c r="AF21" s="548"/>
      <c r="AG21" s="548"/>
      <c r="AH21" s="735">
        <v>11</v>
      </c>
      <c r="AI21" s="735"/>
      <c r="AJ21" s="735"/>
      <c r="AK21" s="735"/>
      <c r="AM21" s="53"/>
    </row>
    <row r="22" spans="1:43" s="134" customFormat="1" ht="20.100000000000001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72"/>
      <c r="AI22" s="736"/>
      <c r="AJ22" s="736"/>
      <c r="AK22" s="464"/>
      <c r="AM22" s="35"/>
    </row>
    <row r="23" spans="1:43" s="148" customFormat="1" ht="20.100000000000001" customHeight="1">
      <c r="A23" s="693">
        <v>1</v>
      </c>
      <c r="B23" s="665" t="s">
        <v>194</v>
      </c>
      <c r="C23" s="625"/>
      <c r="D23" s="486"/>
      <c r="E23" s="665" t="s">
        <v>195</v>
      </c>
      <c r="F23" s="666"/>
      <c r="G23" s="666"/>
      <c r="H23" s="625"/>
      <c r="I23" s="486"/>
      <c r="J23" s="665" t="s">
        <v>589</v>
      </c>
      <c r="K23" s="666"/>
      <c r="L23" s="666"/>
      <c r="M23" s="625"/>
      <c r="N23" s="625"/>
      <c r="O23" s="486"/>
      <c r="P23" s="860" t="s">
        <v>196</v>
      </c>
      <c r="Q23" s="861"/>
      <c r="R23" s="625"/>
      <c r="S23" s="486"/>
      <c r="T23" s="860" t="s">
        <v>197</v>
      </c>
      <c r="U23" s="666"/>
      <c r="V23" s="667"/>
      <c r="W23" s="672">
        <v>173</v>
      </c>
      <c r="X23" s="869"/>
      <c r="Y23" s="673"/>
      <c r="Z23" s="860" t="s">
        <v>589</v>
      </c>
      <c r="AA23" s="486"/>
      <c r="AB23" s="860" t="s">
        <v>589</v>
      </c>
      <c r="AC23" s="861"/>
      <c r="AD23" s="862"/>
      <c r="AE23" s="860" t="s">
        <v>589</v>
      </c>
      <c r="AF23" s="861"/>
      <c r="AG23" s="862"/>
      <c r="AH23" s="870">
        <v>0.22000000000000003</v>
      </c>
      <c r="AI23" s="870"/>
      <c r="AJ23" s="870"/>
      <c r="AK23" s="871"/>
    </row>
    <row r="24" spans="1:43" s="148" customFormat="1" ht="20.100000000000001" customHeight="1">
      <c r="A24" s="694"/>
      <c r="B24" s="626"/>
      <c r="C24" s="556"/>
      <c r="D24" s="627"/>
      <c r="E24" s="626"/>
      <c r="F24" s="556"/>
      <c r="G24" s="556"/>
      <c r="H24" s="556"/>
      <c r="I24" s="627"/>
      <c r="J24" s="626"/>
      <c r="K24" s="556"/>
      <c r="L24" s="556"/>
      <c r="M24" s="556"/>
      <c r="N24" s="556"/>
      <c r="O24" s="627"/>
      <c r="P24" s="863"/>
      <c r="Q24" s="864"/>
      <c r="R24" s="556"/>
      <c r="S24" s="627"/>
      <c r="T24" s="668"/>
      <c r="U24" s="669"/>
      <c r="V24" s="670"/>
      <c r="W24" s="672">
        <v>180</v>
      </c>
      <c r="X24" s="869"/>
      <c r="Y24" s="673"/>
      <c r="Z24" s="626"/>
      <c r="AA24" s="627"/>
      <c r="AB24" s="863"/>
      <c r="AC24" s="864"/>
      <c r="AD24" s="865"/>
      <c r="AE24" s="863"/>
      <c r="AF24" s="864"/>
      <c r="AG24" s="865"/>
      <c r="AH24" s="870">
        <v>0.2</v>
      </c>
      <c r="AI24" s="870"/>
      <c r="AJ24" s="870"/>
      <c r="AK24" s="871"/>
    </row>
    <row r="25" spans="1:43" s="148" customFormat="1" ht="20.100000000000001" customHeight="1">
      <c r="A25" s="695"/>
      <c r="B25" s="481"/>
      <c r="C25" s="628"/>
      <c r="D25" s="482"/>
      <c r="E25" s="481"/>
      <c r="F25" s="628"/>
      <c r="G25" s="628"/>
      <c r="H25" s="628"/>
      <c r="I25" s="482"/>
      <c r="J25" s="481"/>
      <c r="K25" s="628"/>
      <c r="L25" s="628"/>
      <c r="M25" s="628"/>
      <c r="N25" s="628"/>
      <c r="O25" s="482"/>
      <c r="P25" s="866"/>
      <c r="Q25" s="867"/>
      <c r="R25" s="628"/>
      <c r="S25" s="482"/>
      <c r="T25" s="562"/>
      <c r="U25" s="563"/>
      <c r="V25" s="564"/>
      <c r="W25" s="672">
        <v>176</v>
      </c>
      <c r="X25" s="869"/>
      <c r="Y25" s="673"/>
      <c r="Z25" s="481"/>
      <c r="AA25" s="482"/>
      <c r="AB25" s="866"/>
      <c r="AC25" s="867"/>
      <c r="AD25" s="868"/>
      <c r="AE25" s="866"/>
      <c r="AF25" s="867"/>
      <c r="AG25" s="868"/>
      <c r="AH25" s="870">
        <v>0.23000000000000004</v>
      </c>
      <c r="AI25" s="870"/>
      <c r="AJ25" s="870"/>
      <c r="AK25" s="871"/>
    </row>
    <row r="26" spans="1:43" s="148" customFormat="1" ht="20.100000000000001" customHeight="1">
      <c r="A26" s="693">
        <v>2</v>
      </c>
      <c r="B26" s="665" t="s">
        <v>198</v>
      </c>
      <c r="C26" s="625"/>
      <c r="D26" s="486"/>
      <c r="E26" s="665" t="s">
        <v>199</v>
      </c>
      <c r="F26" s="666"/>
      <c r="G26" s="666"/>
      <c r="H26" s="625"/>
      <c r="I26" s="486"/>
      <c r="J26" s="665" t="s">
        <v>200</v>
      </c>
      <c r="K26" s="666"/>
      <c r="L26" s="666"/>
      <c r="M26" s="625"/>
      <c r="N26" s="625"/>
      <c r="O26" s="486"/>
      <c r="P26" s="860" t="s">
        <v>201</v>
      </c>
      <c r="Q26" s="861"/>
      <c r="R26" s="625"/>
      <c r="S26" s="486"/>
      <c r="T26" s="860" t="s">
        <v>197</v>
      </c>
      <c r="U26" s="666"/>
      <c r="V26" s="667"/>
      <c r="W26" s="672">
        <v>308</v>
      </c>
      <c r="X26" s="869"/>
      <c r="Y26" s="673"/>
      <c r="Z26" s="860" t="s">
        <v>589</v>
      </c>
      <c r="AA26" s="486"/>
      <c r="AB26" s="860" t="s">
        <v>589</v>
      </c>
      <c r="AC26" s="861"/>
      <c r="AD26" s="862"/>
      <c r="AE26" s="872" t="s">
        <v>202</v>
      </c>
      <c r="AF26" s="873"/>
      <c r="AG26" s="874"/>
      <c r="AH26" s="870">
        <v>1.25</v>
      </c>
      <c r="AI26" s="870"/>
      <c r="AJ26" s="870"/>
      <c r="AK26" s="871"/>
    </row>
    <row r="27" spans="1:43" s="148" customFormat="1" ht="20.100000000000001" customHeight="1">
      <c r="A27" s="694"/>
      <c r="B27" s="626"/>
      <c r="C27" s="556"/>
      <c r="D27" s="627"/>
      <c r="E27" s="626"/>
      <c r="F27" s="556"/>
      <c r="G27" s="556"/>
      <c r="H27" s="556"/>
      <c r="I27" s="627"/>
      <c r="J27" s="626"/>
      <c r="K27" s="556"/>
      <c r="L27" s="556"/>
      <c r="M27" s="556"/>
      <c r="N27" s="556"/>
      <c r="O27" s="627"/>
      <c r="P27" s="863"/>
      <c r="Q27" s="864"/>
      <c r="R27" s="556"/>
      <c r="S27" s="627"/>
      <c r="T27" s="668"/>
      <c r="U27" s="669"/>
      <c r="V27" s="670"/>
      <c r="W27" s="672">
        <v>310</v>
      </c>
      <c r="X27" s="869"/>
      <c r="Y27" s="673"/>
      <c r="Z27" s="626"/>
      <c r="AA27" s="627"/>
      <c r="AB27" s="863"/>
      <c r="AC27" s="864"/>
      <c r="AD27" s="865"/>
      <c r="AE27" s="875"/>
      <c r="AF27" s="876"/>
      <c r="AG27" s="877"/>
      <c r="AH27" s="870">
        <v>1.25</v>
      </c>
      <c r="AI27" s="870"/>
      <c r="AJ27" s="870"/>
      <c r="AK27" s="871"/>
    </row>
    <row r="28" spans="1:43" s="148" customFormat="1" ht="20.100000000000001" customHeight="1">
      <c r="A28" s="695"/>
      <c r="B28" s="481"/>
      <c r="C28" s="628"/>
      <c r="D28" s="482"/>
      <c r="E28" s="481"/>
      <c r="F28" s="628"/>
      <c r="G28" s="628"/>
      <c r="H28" s="628"/>
      <c r="I28" s="482"/>
      <c r="J28" s="481"/>
      <c r="K28" s="628"/>
      <c r="L28" s="628"/>
      <c r="M28" s="628"/>
      <c r="N28" s="628"/>
      <c r="O28" s="482"/>
      <c r="P28" s="866"/>
      <c r="Q28" s="867"/>
      <c r="R28" s="628"/>
      <c r="S28" s="482"/>
      <c r="T28" s="562"/>
      <c r="U28" s="563"/>
      <c r="V28" s="564"/>
      <c r="W28" s="672">
        <v>310</v>
      </c>
      <c r="X28" s="869"/>
      <c r="Y28" s="673"/>
      <c r="Z28" s="481"/>
      <c r="AA28" s="482"/>
      <c r="AB28" s="866"/>
      <c r="AC28" s="867"/>
      <c r="AD28" s="868"/>
      <c r="AE28" s="878"/>
      <c r="AF28" s="879"/>
      <c r="AG28" s="880"/>
      <c r="AH28" s="870">
        <v>1.24</v>
      </c>
      <c r="AI28" s="870"/>
      <c r="AJ28" s="870"/>
      <c r="AK28" s="871"/>
    </row>
    <row r="29" spans="1:43" s="148" customFormat="1" ht="20.100000000000001" customHeight="1">
      <c r="A29" s="693">
        <v>3</v>
      </c>
      <c r="B29" s="665" t="s">
        <v>203</v>
      </c>
      <c r="C29" s="625"/>
      <c r="D29" s="486"/>
      <c r="E29" s="665" t="s">
        <v>204</v>
      </c>
      <c r="F29" s="666"/>
      <c r="G29" s="666"/>
      <c r="H29" s="625"/>
      <c r="I29" s="486"/>
      <c r="J29" s="665" t="s">
        <v>205</v>
      </c>
      <c r="K29" s="666"/>
      <c r="L29" s="666"/>
      <c r="M29" s="625"/>
      <c r="N29" s="625"/>
      <c r="O29" s="486"/>
      <c r="P29" s="860" t="s">
        <v>206</v>
      </c>
      <c r="Q29" s="861"/>
      <c r="R29" s="625"/>
      <c r="S29" s="486"/>
      <c r="T29" s="860" t="s">
        <v>197</v>
      </c>
      <c r="U29" s="666"/>
      <c r="V29" s="667"/>
      <c r="W29" s="672">
        <v>188</v>
      </c>
      <c r="X29" s="869"/>
      <c r="Y29" s="673"/>
      <c r="Z29" s="860" t="s">
        <v>589</v>
      </c>
      <c r="AA29" s="486"/>
      <c r="AB29" s="860" t="s">
        <v>589</v>
      </c>
      <c r="AC29" s="861"/>
      <c r="AD29" s="862"/>
      <c r="AE29" s="860" t="s">
        <v>207</v>
      </c>
      <c r="AF29" s="861"/>
      <c r="AG29" s="862"/>
      <c r="AH29" s="870">
        <v>5</v>
      </c>
      <c r="AI29" s="870"/>
      <c r="AJ29" s="870"/>
      <c r="AK29" s="871"/>
    </row>
    <row r="30" spans="1:43" s="148" customFormat="1" ht="20.100000000000001" customHeight="1">
      <c r="A30" s="694"/>
      <c r="B30" s="626"/>
      <c r="C30" s="556"/>
      <c r="D30" s="627"/>
      <c r="E30" s="626"/>
      <c r="F30" s="556"/>
      <c r="G30" s="556"/>
      <c r="H30" s="556"/>
      <c r="I30" s="627"/>
      <c r="J30" s="626"/>
      <c r="K30" s="556"/>
      <c r="L30" s="556"/>
      <c r="M30" s="556"/>
      <c r="N30" s="556"/>
      <c r="O30" s="627"/>
      <c r="P30" s="863"/>
      <c r="Q30" s="864"/>
      <c r="R30" s="556"/>
      <c r="S30" s="627"/>
      <c r="T30" s="668"/>
      <c r="U30" s="669"/>
      <c r="V30" s="670"/>
      <c r="W30" s="672">
        <v>187</v>
      </c>
      <c r="X30" s="869"/>
      <c r="Y30" s="673"/>
      <c r="Z30" s="626"/>
      <c r="AA30" s="627"/>
      <c r="AB30" s="863"/>
      <c r="AC30" s="864"/>
      <c r="AD30" s="865"/>
      <c r="AE30" s="863"/>
      <c r="AF30" s="864"/>
      <c r="AG30" s="865"/>
      <c r="AH30" s="870">
        <v>4.8</v>
      </c>
      <c r="AI30" s="870"/>
      <c r="AJ30" s="870"/>
      <c r="AK30" s="871"/>
    </row>
    <row r="31" spans="1:43" s="148" customFormat="1" ht="20.100000000000001" customHeight="1">
      <c r="A31" s="695"/>
      <c r="B31" s="481"/>
      <c r="C31" s="628"/>
      <c r="D31" s="482"/>
      <c r="E31" s="481"/>
      <c r="F31" s="628"/>
      <c r="G31" s="628"/>
      <c r="H31" s="628"/>
      <c r="I31" s="482"/>
      <c r="J31" s="481"/>
      <c r="K31" s="628"/>
      <c r="L31" s="628"/>
      <c r="M31" s="628"/>
      <c r="N31" s="628"/>
      <c r="O31" s="482"/>
      <c r="P31" s="866"/>
      <c r="Q31" s="867"/>
      <c r="R31" s="628"/>
      <c r="S31" s="482"/>
      <c r="T31" s="562"/>
      <c r="U31" s="563"/>
      <c r="V31" s="564"/>
      <c r="W31" s="672">
        <v>187</v>
      </c>
      <c r="X31" s="869"/>
      <c r="Y31" s="673"/>
      <c r="Z31" s="481"/>
      <c r="AA31" s="482"/>
      <c r="AB31" s="866"/>
      <c r="AC31" s="867"/>
      <c r="AD31" s="868"/>
      <c r="AE31" s="866"/>
      <c r="AF31" s="867"/>
      <c r="AG31" s="868"/>
      <c r="AH31" s="870">
        <v>4.9000000000000004</v>
      </c>
      <c r="AI31" s="870"/>
      <c r="AJ31" s="870"/>
      <c r="AK31" s="871"/>
    </row>
    <row r="32" spans="1:43" ht="21.75" customHeight="1">
      <c r="A32" s="641" t="s">
        <v>841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AM32"/>
    </row>
    <row r="33" spans="1:39" ht="62.25" customHeight="1">
      <c r="A33" s="693" t="s">
        <v>540</v>
      </c>
      <c r="B33" s="665" t="s">
        <v>541</v>
      </c>
      <c r="C33" s="667"/>
      <c r="D33" s="665" t="s">
        <v>911</v>
      </c>
      <c r="E33" s="666"/>
      <c r="F33" s="666"/>
      <c r="G33" s="667"/>
      <c r="H33" s="548" t="s">
        <v>544</v>
      </c>
      <c r="I33" s="548"/>
      <c r="J33" s="548"/>
      <c r="K33" s="548"/>
      <c r="L33" s="548"/>
      <c r="M33" s="548"/>
      <c r="N33" s="548"/>
      <c r="O33" s="548"/>
      <c r="P33" s="548"/>
      <c r="Q33" s="548"/>
      <c r="R33" s="548" t="s">
        <v>545</v>
      </c>
      <c r="S33" s="548"/>
      <c r="T33" s="548"/>
      <c r="U33" s="548"/>
      <c r="V33" s="548"/>
      <c r="W33" s="548"/>
      <c r="X33" s="548"/>
      <c r="Y33" s="548"/>
      <c r="Z33" s="665" t="s">
        <v>208</v>
      </c>
      <c r="AA33" s="666"/>
      <c r="AB33" s="666"/>
      <c r="AC33" s="666"/>
      <c r="AD33" s="666"/>
      <c r="AE33" s="667"/>
      <c r="AF33" s="665" t="s">
        <v>912</v>
      </c>
      <c r="AG33" s="881"/>
      <c r="AH33" s="881"/>
      <c r="AI33" s="881"/>
      <c r="AJ33" s="881"/>
      <c r="AK33" s="882"/>
      <c r="AM33"/>
    </row>
    <row r="34" spans="1:39" ht="30" customHeight="1">
      <c r="A34" s="695"/>
      <c r="B34" s="562"/>
      <c r="C34" s="564"/>
      <c r="D34" s="562"/>
      <c r="E34" s="563"/>
      <c r="F34" s="563"/>
      <c r="G34" s="564"/>
      <c r="H34" s="545" t="s">
        <v>548</v>
      </c>
      <c r="I34" s="736"/>
      <c r="J34" s="736"/>
      <c r="K34" s="464"/>
      <c r="L34" s="545" t="s">
        <v>549</v>
      </c>
      <c r="M34" s="736"/>
      <c r="N34" s="736"/>
      <c r="O34" s="736"/>
      <c r="P34" s="736"/>
      <c r="Q34" s="464"/>
      <c r="R34" s="545" t="s">
        <v>550</v>
      </c>
      <c r="S34" s="546"/>
      <c r="T34" s="546"/>
      <c r="U34" s="547"/>
      <c r="V34" s="545" t="s">
        <v>551</v>
      </c>
      <c r="W34" s="546"/>
      <c r="X34" s="546"/>
      <c r="Y34" s="547"/>
      <c r="Z34" s="481"/>
      <c r="AA34" s="628"/>
      <c r="AB34" s="628"/>
      <c r="AC34" s="628"/>
      <c r="AD34" s="628"/>
      <c r="AE34" s="482"/>
      <c r="AF34" s="883"/>
      <c r="AG34" s="654"/>
      <c r="AH34" s="654"/>
      <c r="AI34" s="654"/>
      <c r="AJ34" s="654"/>
      <c r="AK34" s="884"/>
      <c r="AM34"/>
    </row>
    <row r="35" spans="1:39" ht="39.950000000000003" customHeight="1">
      <c r="A35" s="135">
        <v>1</v>
      </c>
      <c r="B35" s="545" t="str">
        <f ca="1">'Исходник '!B56</f>
        <v>MPI-520</v>
      </c>
      <c r="C35" s="547"/>
      <c r="D35" s="545">
        <f ca="1">'Исходник '!C56</f>
        <v>723895</v>
      </c>
      <c r="E35" s="546"/>
      <c r="F35" s="546"/>
      <c r="G35" s="547"/>
      <c r="H35" s="548" t="str">
        <f ca="1">'Исходник '!F60</f>
        <v>0÷500В</v>
      </c>
      <c r="I35" s="548"/>
      <c r="J35" s="548"/>
      <c r="K35" s="548"/>
      <c r="L35" s="548" t="str">
        <f ca="1">'Исходник '!H60</f>
        <v>±(2,0% и.в.+6 е.м.р.)</v>
      </c>
      <c r="M35" s="548"/>
      <c r="N35" s="548"/>
      <c r="O35" s="548"/>
      <c r="P35" s="797"/>
      <c r="Q35" s="797"/>
      <c r="R35" s="885">
        <f ca="1">'Исходник '!J56</f>
        <v>43530</v>
      </c>
      <c r="S35" s="797"/>
      <c r="T35" s="797"/>
      <c r="U35" s="797"/>
      <c r="V35" s="885">
        <f ca="1">'Исходник '!L56</f>
        <v>43895</v>
      </c>
      <c r="W35" s="797"/>
      <c r="X35" s="797"/>
      <c r="Y35" s="797"/>
      <c r="Z35" s="545" t="str">
        <f ca="1">'Исходник '!N56</f>
        <v>№18182-А</v>
      </c>
      <c r="AA35" s="736"/>
      <c r="AB35" s="736"/>
      <c r="AC35" s="736"/>
      <c r="AD35" s="736"/>
      <c r="AE35" s="464"/>
      <c r="AF35" s="548" t="str">
        <f ca="1">'Исходник '!P56</f>
        <v>ООО "СОНЕЛ"</v>
      </c>
      <c r="AG35" s="797"/>
      <c r="AH35" s="797"/>
      <c r="AI35" s="797"/>
      <c r="AJ35" s="797"/>
      <c r="AK35" s="797"/>
      <c r="AM35"/>
    </row>
    <row r="36" spans="1:39" ht="52.5" customHeight="1">
      <c r="A36" s="135">
        <v>2</v>
      </c>
      <c r="B36" s="545" t="str">
        <f ca="1">'Исходник '!B61</f>
        <v>ИВТМ-7</v>
      </c>
      <c r="C36" s="547"/>
      <c r="D36" s="545">
        <f ca="1">'Исходник '!C61</f>
        <v>20084</v>
      </c>
      <c r="E36" s="546"/>
      <c r="F36" s="546"/>
      <c r="G36" s="547"/>
      <c r="H36" s="548" t="str">
        <f ca="1">'Исходник '!F61</f>
        <v>0-99 %
-20 +60 0С</v>
      </c>
      <c r="I36" s="548"/>
      <c r="J36" s="548"/>
      <c r="K36" s="548"/>
      <c r="L36" s="548" t="str">
        <f ca="1">'Исходник '!H61</f>
        <v>± 2%
± 0,2 0С</v>
      </c>
      <c r="M36" s="548"/>
      <c r="N36" s="548"/>
      <c r="O36" s="548"/>
      <c r="P36" s="797"/>
      <c r="Q36" s="797"/>
      <c r="R36" s="885">
        <f ca="1">'Исходник '!J61</f>
        <v>43517</v>
      </c>
      <c r="S36" s="797"/>
      <c r="T36" s="797"/>
      <c r="U36" s="797"/>
      <c r="V36" s="885" t="str">
        <f ca="1">'Исходник '!L61</f>
        <v>21.02.2020.</v>
      </c>
      <c r="W36" s="797"/>
      <c r="X36" s="797"/>
      <c r="Y36" s="797"/>
      <c r="Z36" s="545" t="str">
        <f ca="1">'Исходник '!N61</f>
        <v>№197</v>
      </c>
      <c r="AA36" s="736"/>
      <c r="AB36" s="736"/>
      <c r="AC36" s="736"/>
      <c r="AD36" s="736"/>
      <c r="AE36" s="464"/>
      <c r="AF36" s="548" t="str">
        <f ca="1">'Исходник '!P61</f>
        <v>ООО НПК "АВИАПРИБОР"</v>
      </c>
      <c r="AG36" s="797"/>
      <c r="AH36" s="797"/>
      <c r="AI36" s="797"/>
      <c r="AJ36" s="797"/>
      <c r="AK36" s="797"/>
      <c r="AM36"/>
    </row>
    <row r="37" spans="1:39" ht="54" customHeight="1">
      <c r="A37" s="135">
        <v>3</v>
      </c>
      <c r="B37" s="545" t="str">
        <f ca="1">'Исходник '!B62</f>
        <v>Барометр М 67</v>
      </c>
      <c r="C37" s="547"/>
      <c r="D37" s="545">
        <f ca="1">'Исходник '!C62</f>
        <v>74</v>
      </c>
      <c r="E37" s="546"/>
      <c r="F37" s="546"/>
      <c r="G37" s="547"/>
      <c r="H37" s="548" t="str">
        <f ca="1">'Исходник '!F62</f>
        <v>610-790
 мм.рт.ст</v>
      </c>
      <c r="I37" s="548"/>
      <c r="J37" s="548"/>
      <c r="K37" s="548"/>
      <c r="L37" s="548" t="str">
        <f ca="1">'Исходник '!F62</f>
        <v>610-790
 мм.рт.ст</v>
      </c>
      <c r="M37" s="548"/>
      <c r="N37" s="548"/>
      <c r="O37" s="548"/>
      <c r="P37" s="797"/>
      <c r="Q37" s="797"/>
      <c r="R37" s="885">
        <f ca="1">'Исходник '!J62</f>
        <v>43517</v>
      </c>
      <c r="S37" s="797"/>
      <c r="T37" s="797"/>
      <c r="U37" s="797"/>
      <c r="V37" s="885" t="str">
        <f ca="1">'Исходник '!L62</f>
        <v>21.02.2020.</v>
      </c>
      <c r="W37" s="797"/>
      <c r="X37" s="797"/>
      <c r="Y37" s="797"/>
      <c r="Z37" s="545" t="str">
        <f ca="1">'Исходник '!N62</f>
        <v>№200</v>
      </c>
      <c r="AA37" s="736"/>
      <c r="AB37" s="736"/>
      <c r="AC37" s="736"/>
      <c r="AD37" s="736"/>
      <c r="AE37" s="464"/>
      <c r="AF37" s="548" t="str">
        <f ca="1">'Исходник '!P62</f>
        <v>ООО НПК "АВИАПРИБОР"</v>
      </c>
      <c r="AG37" s="797"/>
      <c r="AH37" s="797"/>
      <c r="AI37" s="797"/>
      <c r="AJ37" s="797"/>
      <c r="AK37" s="797"/>
      <c r="AM37"/>
    </row>
    <row r="38" spans="1:39" ht="54" customHeight="1">
      <c r="A38" s="135">
        <v>4</v>
      </c>
      <c r="B38" s="545" t="str">
        <f ca="1">'Исходник '!B67</f>
        <v>Секундомер электрический 
ПВ-53Щ</v>
      </c>
      <c r="C38" s="547"/>
      <c r="D38" s="545">
        <f ca="1">'Исходник '!C67</f>
        <v>5306269</v>
      </c>
      <c r="E38" s="546"/>
      <c r="F38" s="546"/>
      <c r="G38" s="547"/>
      <c r="H38" s="548" t="str">
        <f ca="1">'Исходник '!F67</f>
        <v>0,01с</v>
      </c>
      <c r="I38" s="548"/>
      <c r="J38" s="548"/>
      <c r="K38" s="548"/>
      <c r="L38" s="548">
        <f ca="1">'Исходник '!H67</f>
        <v>1.5</v>
      </c>
      <c r="M38" s="548"/>
      <c r="N38" s="548"/>
      <c r="O38" s="548"/>
      <c r="P38" s="797"/>
      <c r="Q38" s="797"/>
      <c r="R38" s="885">
        <f ca="1">'Исходник '!J67</f>
        <v>43553</v>
      </c>
      <c r="S38" s="797"/>
      <c r="T38" s="797"/>
      <c r="U38" s="797"/>
      <c r="V38" s="885">
        <f ca="1">'Исходник '!L67</f>
        <v>43919</v>
      </c>
      <c r="W38" s="797"/>
      <c r="X38" s="797"/>
      <c r="Y38" s="797"/>
      <c r="Z38" s="545" t="str">
        <f ca="1">'Исходник '!N67</f>
        <v>№291</v>
      </c>
      <c r="AA38" s="736"/>
      <c r="AB38" s="736"/>
      <c r="AC38" s="736"/>
      <c r="AD38" s="736"/>
      <c r="AE38" s="464"/>
      <c r="AF38" s="548" t="str">
        <f ca="1">'Исходник '!P67</f>
        <v>ООО НПК "АВИАПРИБОР"</v>
      </c>
      <c r="AG38" s="797"/>
      <c r="AH38" s="797"/>
      <c r="AI38" s="797"/>
      <c r="AJ38" s="797"/>
      <c r="AK38" s="797"/>
      <c r="AM38"/>
    </row>
    <row r="39" spans="1:39" ht="54" customHeight="1">
      <c r="A39" s="135">
        <v>5</v>
      </c>
      <c r="B39" s="548" t="str">
        <f ca="1">'Исходник '!B68</f>
        <v>ЛАТР 
suntek I 500</v>
      </c>
      <c r="C39" s="548"/>
      <c r="D39" s="548">
        <f ca="1">'Исходник '!C68</f>
        <v>2185</v>
      </c>
      <c r="E39" s="548"/>
      <c r="F39" s="548"/>
      <c r="G39" s="548"/>
      <c r="H39" s="548" t="str">
        <f ca="1">'Исходник '!F68</f>
        <v>0-300B/4A</v>
      </c>
      <c r="I39" s="548"/>
      <c r="J39" s="548"/>
      <c r="K39" s="548"/>
      <c r="L39" s="548" t="str">
        <f ca="1">'Исходник '!H68</f>
        <v xml:space="preserve"> - </v>
      </c>
      <c r="M39" s="548"/>
      <c r="N39" s="548"/>
      <c r="O39" s="548"/>
      <c r="P39" s="797"/>
      <c r="Q39" s="797"/>
      <c r="R39" s="885" t="str">
        <f ca="1">'Исходник '!J68</f>
        <v>приобретён 26.12.2018г.</v>
      </c>
      <c r="S39" s="797"/>
      <c r="T39" s="797"/>
      <c r="U39" s="797"/>
      <c r="V39" s="885" t="str">
        <f ca="1">'Исходник '!L68</f>
        <v xml:space="preserve"> - </v>
      </c>
      <c r="W39" s="797"/>
      <c r="X39" s="797"/>
      <c r="Y39" s="797"/>
      <c r="Z39" s="885" t="str">
        <f ca="1">'Исходник '!N68</f>
        <v xml:space="preserve"> - </v>
      </c>
      <c r="AA39" s="797"/>
      <c r="AB39" s="797"/>
      <c r="AC39" s="797"/>
      <c r="AD39" s="797"/>
      <c r="AE39" s="797"/>
      <c r="AF39" s="885" t="str">
        <f ca="1">'Исходник '!P68</f>
        <v xml:space="preserve"> - </v>
      </c>
      <c r="AG39" s="797"/>
      <c r="AH39" s="797"/>
      <c r="AI39" s="797"/>
      <c r="AJ39" s="797"/>
      <c r="AK39" s="797"/>
      <c r="AM39"/>
    </row>
    <row r="40" spans="1:39" ht="18.75" customHeight="1">
      <c r="A40" s="64" t="s">
        <v>913</v>
      </c>
      <c r="B40" s="137"/>
      <c r="C40" s="690" t="s">
        <v>209</v>
      </c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245"/>
      <c r="AM40"/>
    </row>
    <row r="41" spans="1:39" ht="35.25" customHeight="1">
      <c r="A41" s="64" t="s">
        <v>789</v>
      </c>
      <c r="B41" s="79"/>
      <c r="C41" s="686" t="s">
        <v>210</v>
      </c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186"/>
      <c r="AM41"/>
    </row>
    <row r="42" spans="1:39" ht="33.75" customHeight="1">
      <c r="A42" s="682" t="s">
        <v>790</v>
      </c>
      <c r="B42" s="682"/>
      <c r="C42" s="682"/>
      <c r="D42" s="632" t="s">
        <v>749</v>
      </c>
      <c r="E42" s="632"/>
      <c r="F42" s="632"/>
      <c r="G42" s="632"/>
      <c r="H42" s="632"/>
      <c r="I42" s="632"/>
      <c r="J42" s="632"/>
      <c r="N42" s="632"/>
      <c r="O42" s="632"/>
      <c r="P42" s="632"/>
      <c r="Q42" s="632"/>
      <c r="R42" s="632"/>
      <c r="S42" s="632"/>
      <c r="T42" s="632"/>
      <c r="X42" s="632" t="str">
        <f ca="1">'Исходник '!B12</f>
        <v>Евдокимов А.О.</v>
      </c>
      <c r="Y42" s="632"/>
      <c r="Z42" s="632"/>
      <c r="AA42" s="632"/>
      <c r="AB42" s="632"/>
      <c r="AC42" s="632"/>
      <c r="AD42" s="632"/>
      <c r="AE42" s="632"/>
      <c r="AF42" s="632"/>
      <c r="AM42"/>
    </row>
    <row r="43" spans="1:39" ht="18" customHeight="1">
      <c r="A43" s="58"/>
      <c r="B43" s="58"/>
      <c r="C43" s="58"/>
      <c r="D43" s="607" t="s">
        <v>751</v>
      </c>
      <c r="E43" s="607"/>
      <c r="F43" s="607"/>
      <c r="G43" s="607"/>
      <c r="H43" s="607"/>
      <c r="I43" s="607"/>
      <c r="J43" s="607"/>
      <c r="K43" s="58"/>
      <c r="L43" s="58"/>
      <c r="M43" s="58"/>
      <c r="N43" s="607" t="s">
        <v>653</v>
      </c>
      <c r="O43" s="607"/>
      <c r="P43" s="607"/>
      <c r="Q43" s="607"/>
      <c r="R43" s="607"/>
      <c r="S43" s="607"/>
      <c r="T43" s="607"/>
      <c r="U43" s="58"/>
      <c r="V43" s="58"/>
      <c r="X43" s="607" t="s">
        <v>791</v>
      </c>
      <c r="Y43" s="607"/>
      <c r="Z43" s="607"/>
      <c r="AA43" s="607"/>
      <c r="AB43" s="607"/>
      <c r="AC43" s="607"/>
      <c r="AD43" s="607"/>
      <c r="AE43" s="607"/>
      <c r="AF43" s="607"/>
      <c r="AG43" s="58"/>
      <c r="AH43" s="58"/>
      <c r="AM43"/>
    </row>
    <row r="44" spans="1:39" ht="18" customHeight="1">
      <c r="A44" s="23"/>
      <c r="B44" s="23"/>
      <c r="C44" s="23"/>
      <c r="D44" s="632" t="s">
        <v>792</v>
      </c>
      <c r="E44" s="632"/>
      <c r="F44" s="632"/>
      <c r="G44" s="632"/>
      <c r="H44" s="632"/>
      <c r="I44" s="632"/>
      <c r="J44" s="632"/>
      <c r="K44" s="57"/>
      <c r="L44" s="57"/>
      <c r="M44" s="57"/>
      <c r="N44" s="632"/>
      <c r="O44" s="632"/>
      <c r="P44" s="632"/>
      <c r="Q44" s="632"/>
      <c r="R44" s="632"/>
      <c r="S44" s="632"/>
      <c r="T44" s="632"/>
      <c r="U44" s="57"/>
      <c r="V44" s="57"/>
      <c r="W44" s="88"/>
      <c r="X44" s="650" t="str">
        <f ca="1">'Исходник '!B13</f>
        <v>Кокшаров С.В.</v>
      </c>
      <c r="Y44" s="650"/>
      <c r="Z44" s="650"/>
      <c r="AA44" s="650"/>
      <c r="AB44" s="650"/>
      <c r="AC44" s="650"/>
      <c r="AD44" s="650"/>
      <c r="AE44" s="650"/>
      <c r="AF44" s="650"/>
      <c r="AG44" s="57"/>
      <c r="AH44" s="57"/>
      <c r="AM44"/>
    </row>
    <row r="45" spans="1:39" ht="18" customHeight="1">
      <c r="A45" s="24"/>
      <c r="B45" s="24"/>
      <c r="C45" s="24"/>
      <c r="D45" s="607" t="s">
        <v>751</v>
      </c>
      <c r="E45" s="607"/>
      <c r="F45" s="607"/>
      <c r="G45" s="607"/>
      <c r="H45" s="607"/>
      <c r="I45" s="607"/>
      <c r="J45" s="607"/>
      <c r="K45" s="58"/>
      <c r="L45" s="58"/>
      <c r="M45" s="58"/>
      <c r="N45" s="607" t="s">
        <v>653</v>
      </c>
      <c r="O45" s="607"/>
      <c r="P45" s="607"/>
      <c r="Q45" s="607"/>
      <c r="R45" s="607"/>
      <c r="S45" s="607"/>
      <c r="T45" s="607"/>
      <c r="U45" s="58"/>
      <c r="V45" s="58"/>
      <c r="W45" s="88"/>
      <c r="X45" s="607" t="s">
        <v>791</v>
      </c>
      <c r="Y45" s="607"/>
      <c r="Z45" s="607"/>
      <c r="AA45" s="607"/>
      <c r="AB45" s="607"/>
      <c r="AC45" s="607"/>
      <c r="AD45" s="607"/>
      <c r="AE45" s="607"/>
      <c r="AF45" s="607"/>
      <c r="AG45" s="65"/>
      <c r="AH45" s="65"/>
      <c r="AM45"/>
    </row>
    <row r="46" spans="1:39" ht="27" customHeight="1">
      <c r="A46" s="682" t="s">
        <v>793</v>
      </c>
      <c r="B46" s="682"/>
      <c r="C46" s="682"/>
      <c r="D46" s="632" t="s">
        <v>749</v>
      </c>
      <c r="E46" s="632"/>
      <c r="F46" s="632"/>
      <c r="G46" s="632"/>
      <c r="H46" s="632"/>
      <c r="I46" s="632"/>
      <c r="J46" s="632"/>
      <c r="K46" s="57"/>
      <c r="L46" s="57"/>
      <c r="M46" s="57"/>
      <c r="N46" s="632"/>
      <c r="O46" s="632"/>
      <c r="P46" s="632"/>
      <c r="Q46" s="632"/>
      <c r="R46" s="632"/>
      <c r="S46" s="632"/>
      <c r="T46" s="632"/>
      <c r="U46" s="57"/>
      <c r="V46" s="57"/>
      <c r="W46" s="88"/>
      <c r="X46" s="632" t="str">
        <f ca="1">'Исходник '!B12</f>
        <v>Евдокимов А.О.</v>
      </c>
      <c r="Y46" s="632"/>
      <c r="Z46" s="632"/>
      <c r="AA46" s="632"/>
      <c r="AB46" s="632"/>
      <c r="AC46" s="632"/>
      <c r="AD46" s="632"/>
      <c r="AE46" s="632"/>
      <c r="AF46" s="632"/>
      <c r="AG46" s="57"/>
      <c r="AH46" s="57"/>
      <c r="AM46"/>
    </row>
    <row r="47" spans="1:39" ht="18" customHeight="1">
      <c r="A47" s="58"/>
      <c r="B47" s="58"/>
      <c r="C47" s="58"/>
      <c r="D47" s="607" t="s">
        <v>751</v>
      </c>
      <c r="E47" s="607"/>
      <c r="F47" s="607"/>
      <c r="G47" s="607"/>
      <c r="H47" s="607"/>
      <c r="I47" s="607"/>
      <c r="J47" s="607"/>
      <c r="K47" s="58"/>
      <c r="L47" s="58"/>
      <c r="M47" s="58"/>
      <c r="N47" s="607" t="s">
        <v>653</v>
      </c>
      <c r="O47" s="607"/>
      <c r="P47" s="607"/>
      <c r="Q47" s="607"/>
      <c r="R47" s="607"/>
      <c r="S47" s="607"/>
      <c r="T47" s="607"/>
      <c r="U47" s="58"/>
      <c r="V47" s="58"/>
      <c r="X47" s="607" t="s">
        <v>791</v>
      </c>
      <c r="Y47" s="607"/>
      <c r="Z47" s="607"/>
      <c r="AA47" s="607"/>
      <c r="AB47" s="607"/>
      <c r="AC47" s="607"/>
      <c r="AD47" s="607"/>
      <c r="AE47" s="607"/>
      <c r="AF47" s="607"/>
      <c r="AG47" s="58"/>
      <c r="AH47" s="58"/>
      <c r="AM47"/>
    </row>
    <row r="48" spans="1:39" s="89" customFormat="1" ht="12.95" customHeight="1">
      <c r="A48" s="683" t="s">
        <v>794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83"/>
      <c r="S48" s="683"/>
      <c r="T48" s="683"/>
      <c r="U48" s="683"/>
      <c r="V48" s="683"/>
      <c r="W48" s="683"/>
      <c r="X48" s="683"/>
      <c r="Y48" s="683"/>
      <c r="Z48" s="683"/>
      <c r="AA48" s="683"/>
      <c r="AB48" s="683"/>
      <c r="AC48" s="683"/>
      <c r="AD48" s="683"/>
      <c r="AE48" s="683"/>
      <c r="AF48" s="683"/>
      <c r="AG48" s="683"/>
      <c r="AH48" s="683"/>
      <c r="AI48" s="683"/>
      <c r="AJ48" s="244"/>
      <c r="AM48" s="90"/>
    </row>
    <row r="49" spans="1:39" s="27" customFormat="1" ht="12.95" customHeight="1">
      <c r="A49" s="683" t="s">
        <v>795</v>
      </c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3"/>
      <c r="AA49" s="683"/>
      <c r="AB49" s="683"/>
      <c r="AC49" s="683"/>
      <c r="AD49" s="683"/>
      <c r="AE49" s="683"/>
      <c r="AF49" s="683"/>
      <c r="AG49" s="683"/>
      <c r="AH49" s="683"/>
      <c r="AI49" s="683"/>
      <c r="AJ49" s="244"/>
      <c r="AM49" s="37"/>
    </row>
    <row r="50" spans="1:39" ht="15" customHeight="1">
      <c r="A50" s="57"/>
      <c r="B50" s="57"/>
      <c r="C50" s="57"/>
      <c r="D50" s="57"/>
    </row>
    <row r="51" spans="1:39" ht="12.75" customHeight="1">
      <c r="A51" s="65"/>
      <c r="B51" s="65"/>
      <c r="C51" s="65"/>
      <c r="D51" s="65"/>
    </row>
    <row r="52" spans="1:39" ht="15" customHeight="1">
      <c r="P52" s="57"/>
      <c r="Q52" s="57"/>
      <c r="R52" s="57"/>
      <c r="S52" s="57"/>
      <c r="T52" s="57"/>
      <c r="U52" s="57"/>
      <c r="V52" s="57"/>
      <c r="W52" s="88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9" ht="12.75" customHeight="1">
      <c r="P53" s="58"/>
      <c r="Q53" s="58"/>
      <c r="R53" s="58"/>
      <c r="S53" s="58"/>
      <c r="T53" s="58"/>
      <c r="U53" s="58"/>
      <c r="V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39">
      <c r="P54" s="57"/>
      <c r="Q54" s="57"/>
      <c r="R54" s="57"/>
      <c r="S54" s="57"/>
      <c r="T54" s="57"/>
      <c r="U54" s="57"/>
      <c r="V54" s="57"/>
      <c r="Z54" s="57"/>
      <c r="AA54" s="57"/>
      <c r="AB54" s="57"/>
      <c r="AC54" s="57"/>
      <c r="AD54" s="57"/>
      <c r="AE54" s="57"/>
      <c r="AF54" s="57"/>
      <c r="AG54" s="57"/>
      <c r="AH54" s="57"/>
    </row>
  </sheetData>
  <mergeCells count="162">
    <mergeCell ref="A48:AI48"/>
    <mergeCell ref="A49:AI49"/>
    <mergeCell ref="D45:J45"/>
    <mergeCell ref="N45:T45"/>
    <mergeCell ref="X45:AF45"/>
    <mergeCell ref="A46:C46"/>
    <mergeCell ref="D46:J46"/>
    <mergeCell ref="N46:T46"/>
    <mergeCell ref="X46:AF46"/>
    <mergeCell ref="D47:J47"/>
    <mergeCell ref="N47:T47"/>
    <mergeCell ref="X47:AF47"/>
    <mergeCell ref="C41:AI41"/>
    <mergeCell ref="A42:C42"/>
    <mergeCell ref="D42:J42"/>
    <mergeCell ref="N42:T42"/>
    <mergeCell ref="X42:AF42"/>
    <mergeCell ref="D43:J43"/>
    <mergeCell ref="N43:T43"/>
    <mergeCell ref="X43:AF43"/>
    <mergeCell ref="D44:J44"/>
    <mergeCell ref="N44:T44"/>
    <mergeCell ref="X44:AF44"/>
    <mergeCell ref="B39:C39"/>
    <mergeCell ref="D39:G39"/>
    <mergeCell ref="H39:K39"/>
    <mergeCell ref="L39:Q39"/>
    <mergeCell ref="R39:U39"/>
    <mergeCell ref="V39:Y39"/>
    <mergeCell ref="Z39:AE39"/>
    <mergeCell ref="AF39:AK39"/>
    <mergeCell ref="C40:AI40"/>
    <mergeCell ref="B37:C37"/>
    <mergeCell ref="D37:G37"/>
    <mergeCell ref="H37:K37"/>
    <mergeCell ref="L37:Q37"/>
    <mergeCell ref="R37:U37"/>
    <mergeCell ref="V37:Y37"/>
    <mergeCell ref="Z37:AE37"/>
    <mergeCell ref="AF37:AK37"/>
    <mergeCell ref="R38:U38"/>
    <mergeCell ref="V38:Y38"/>
    <mergeCell ref="Z38:AE38"/>
    <mergeCell ref="AF38:AK38"/>
    <mergeCell ref="B38:C38"/>
    <mergeCell ref="D38:G38"/>
    <mergeCell ref="H38:K38"/>
    <mergeCell ref="L38:Q38"/>
    <mergeCell ref="R35:U35"/>
    <mergeCell ref="V35:Y35"/>
    <mergeCell ref="Z35:AE35"/>
    <mergeCell ref="AF35:AK35"/>
    <mergeCell ref="B35:C35"/>
    <mergeCell ref="D35:G35"/>
    <mergeCell ref="H35:K35"/>
    <mergeCell ref="L35:Q35"/>
    <mergeCell ref="R36:U36"/>
    <mergeCell ref="V36:Y36"/>
    <mergeCell ref="Z36:AE36"/>
    <mergeCell ref="AF36:AK36"/>
    <mergeCell ref="B36:C36"/>
    <mergeCell ref="D36:G36"/>
    <mergeCell ref="H36:K36"/>
    <mergeCell ref="L36:Q36"/>
    <mergeCell ref="A32:V32"/>
    <mergeCell ref="H33:Q33"/>
    <mergeCell ref="R33:Y33"/>
    <mergeCell ref="A33:A34"/>
    <mergeCell ref="B33:C34"/>
    <mergeCell ref="D33:G34"/>
    <mergeCell ref="Z33:AE34"/>
    <mergeCell ref="AF33:AK34"/>
    <mergeCell ref="H34:K34"/>
    <mergeCell ref="L34:Q34"/>
    <mergeCell ref="R34:U34"/>
    <mergeCell ref="V34:Y34"/>
    <mergeCell ref="A29:A31"/>
    <mergeCell ref="B29:D31"/>
    <mergeCell ref="E29:I31"/>
    <mergeCell ref="J29:O31"/>
    <mergeCell ref="P29:S31"/>
    <mergeCell ref="T29:V31"/>
    <mergeCell ref="AE29:AG31"/>
    <mergeCell ref="W30:Y30"/>
    <mergeCell ref="AH30:AK30"/>
    <mergeCell ref="W31:Y31"/>
    <mergeCell ref="AH31:AK31"/>
    <mergeCell ref="W29:Y29"/>
    <mergeCell ref="AH29:AK29"/>
    <mergeCell ref="Z29:AA31"/>
    <mergeCell ref="AB29:AD31"/>
    <mergeCell ref="A26:A28"/>
    <mergeCell ref="B26:D28"/>
    <mergeCell ref="E26:I28"/>
    <mergeCell ref="J26:O28"/>
    <mergeCell ref="P26:S28"/>
    <mergeCell ref="T26:V28"/>
    <mergeCell ref="AE26:AG28"/>
    <mergeCell ref="W27:Y27"/>
    <mergeCell ref="AH27:AK27"/>
    <mergeCell ref="W28:Y28"/>
    <mergeCell ref="AH28:AK28"/>
    <mergeCell ref="W26:Y26"/>
    <mergeCell ref="AH26:AK26"/>
    <mergeCell ref="Z26:AA28"/>
    <mergeCell ref="AB26:AD28"/>
    <mergeCell ref="AH24:AK24"/>
    <mergeCell ref="W25:Y25"/>
    <mergeCell ref="AH25:AK25"/>
    <mergeCell ref="W23:Y23"/>
    <mergeCell ref="AH23:AK23"/>
    <mergeCell ref="A23:A25"/>
    <mergeCell ref="B23:D25"/>
    <mergeCell ref="E23:I25"/>
    <mergeCell ref="J23:O25"/>
    <mergeCell ref="P23:S25"/>
    <mergeCell ref="J21:O21"/>
    <mergeCell ref="P21:S21"/>
    <mergeCell ref="T21:V21"/>
    <mergeCell ref="W21:Y21"/>
    <mergeCell ref="AE23:AG25"/>
    <mergeCell ref="W24:Y24"/>
    <mergeCell ref="T23:V25"/>
    <mergeCell ref="Z23:AA25"/>
    <mergeCell ref="AB23:AD25"/>
    <mergeCell ref="T15:Y16"/>
    <mergeCell ref="Z15:AD16"/>
    <mergeCell ref="AE15:AK16"/>
    <mergeCell ref="Z21:AA21"/>
    <mergeCell ref="AB21:AD21"/>
    <mergeCell ref="AE21:AG21"/>
    <mergeCell ref="AH21:AK21"/>
    <mergeCell ref="A15:A20"/>
    <mergeCell ref="B15:D20"/>
    <mergeCell ref="E15:I20"/>
    <mergeCell ref="J15:O20"/>
    <mergeCell ref="AH22:AK22"/>
    <mergeCell ref="A9:AI9"/>
    <mergeCell ref="A10:AI10"/>
    <mergeCell ref="A11:AI11"/>
    <mergeCell ref="A12:AI12"/>
    <mergeCell ref="A13:AI13"/>
    <mergeCell ref="AE17:AG20"/>
    <mergeCell ref="AH17:AK20"/>
    <mergeCell ref="U1:AK1"/>
    <mergeCell ref="U2:AK2"/>
    <mergeCell ref="U3:AK3"/>
    <mergeCell ref="Z4:AK4"/>
    <mergeCell ref="A5:AI5"/>
    <mergeCell ref="A6:AI6"/>
    <mergeCell ref="A7:AI7"/>
    <mergeCell ref="P15:S20"/>
    <mergeCell ref="V8:W8"/>
    <mergeCell ref="B8:C8"/>
    <mergeCell ref="F8:J8"/>
    <mergeCell ref="K8:M8"/>
    <mergeCell ref="P8:U8"/>
    <mergeCell ref="AB17:AD20"/>
    <mergeCell ref="T17:V20"/>
    <mergeCell ref="W17:Y20"/>
    <mergeCell ref="Z17:AA20"/>
    <mergeCell ref="A14:AI14"/>
  </mergeCells>
  <phoneticPr fontId="0" type="noConversion"/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1"/>
  <sheetViews>
    <sheetView topLeftCell="A28" workbookViewId="0">
      <selection activeCell="Q27" sqref="Q27:Y27"/>
    </sheetView>
  </sheetViews>
  <sheetFormatPr defaultRowHeight="12.75"/>
  <cols>
    <col min="1" max="1" width="5" customWidth="1"/>
    <col min="2" max="2" width="0.5703125" customWidth="1"/>
    <col min="3" max="3" width="7.5703125" customWidth="1"/>
    <col min="4" max="4" width="5.42578125" customWidth="1"/>
    <col min="5" max="5" width="3.5703125" customWidth="1"/>
    <col min="6" max="6" width="5" customWidth="1"/>
    <col min="7" max="7" width="3.28515625" customWidth="1"/>
    <col min="8" max="8" width="1.5703125" customWidth="1"/>
    <col min="9" max="10" width="3.28515625" customWidth="1"/>
    <col min="11" max="11" width="1.5703125" customWidth="1"/>
    <col min="12" max="12" width="2.42578125" customWidth="1"/>
    <col min="13" max="13" width="7.5703125" customWidth="1"/>
    <col min="14" max="14" width="6" customWidth="1"/>
    <col min="15" max="15" width="1.85546875" customWidth="1"/>
    <col min="16" max="16" width="4.7109375" customWidth="1"/>
    <col min="17" max="17" width="2" customWidth="1"/>
    <col min="18" max="18" width="4.42578125" customWidth="1"/>
    <col min="19" max="19" width="5.28515625" customWidth="1"/>
    <col min="20" max="20" width="6.85546875" customWidth="1"/>
    <col min="21" max="21" width="2.140625" customWidth="1"/>
    <col min="22" max="22" width="4.28515625" customWidth="1"/>
    <col min="23" max="23" width="5.7109375" customWidth="1"/>
    <col min="24" max="24" width="3.5703125" customWidth="1"/>
    <col min="25" max="25" width="2.5703125" customWidth="1"/>
    <col min="26" max="26" width="4.28515625" customWidth="1"/>
    <col min="27" max="27" width="2.28515625" customWidth="1"/>
    <col min="28" max="28" width="3.85546875" customWidth="1"/>
    <col min="29" max="29" width="1" customWidth="1"/>
    <col min="30" max="30" width="1.28515625" customWidth="1"/>
    <col min="31" max="31" width="1.140625" customWidth="1"/>
    <col min="32" max="32" width="3.28515625" customWidth="1"/>
    <col min="33" max="33" width="2.140625" customWidth="1"/>
    <col min="34" max="34" width="8" customWidth="1"/>
    <col min="35" max="35" width="5.7109375" customWidth="1"/>
  </cols>
  <sheetData>
    <row r="1" spans="1:35" s="55" customFormat="1" ht="16.5" customHeight="1">
      <c r="A1" s="66"/>
      <c r="B1" s="64" t="str">
        <f ca="1">'Исходник '!B3</f>
        <v>ООО «ТМ-Электро»</v>
      </c>
      <c r="C1" s="64"/>
      <c r="O1" s="64"/>
      <c r="R1" s="295"/>
      <c r="S1" s="64" t="s">
        <v>489</v>
      </c>
      <c r="V1" s="603">
        <f ca="1">'Исходник '!B19</f>
        <v>0</v>
      </c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</row>
    <row r="2" spans="1:35" s="55" customFormat="1" ht="15.75" customHeight="1">
      <c r="A2" s="66"/>
      <c r="B2" s="504" t="s">
        <v>632</v>
      </c>
      <c r="C2" s="516"/>
      <c r="D2" s="516"/>
      <c r="E2" s="516"/>
      <c r="F2" s="516"/>
      <c r="G2" s="298"/>
      <c r="H2" s="298"/>
      <c r="I2" s="36"/>
      <c r="J2" s="36"/>
      <c r="K2" s="36"/>
      <c r="L2" s="36"/>
      <c r="M2" s="36"/>
      <c r="N2" s="36"/>
      <c r="O2" s="262"/>
      <c r="Q2" s="36"/>
      <c r="R2" s="100"/>
      <c r="S2" s="262" t="s">
        <v>491</v>
      </c>
      <c r="V2" s="603" t="str">
        <f ca="1">'Исходник '!B20</f>
        <v>Фитнес-клуб</v>
      </c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554"/>
      <c r="AI2" s="554"/>
    </row>
    <row r="3" spans="1:35" s="55" customFormat="1" ht="15" customHeight="1">
      <c r="A3" s="66"/>
      <c r="B3" s="100" t="str">
        <f ca="1">CONCATENATE('Исходник '!A5," ",'Исходник '!B5)</f>
        <v>Свидетельство о регистрации № 6231-2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2"/>
      <c r="Q3" s="100"/>
      <c r="S3" s="262" t="s">
        <v>494</v>
      </c>
      <c r="V3" s="603">
        <f ca="1">'Исходник '!B21</f>
        <v>0</v>
      </c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</row>
    <row r="4" spans="1:35" s="55" customFormat="1" ht="15" customHeight="1">
      <c r="A4" s="66"/>
      <c r="B4" s="100" t="str">
        <f ca="1">CONCATENATE('Исходник '!A7," ",'Исходник '!B7)</f>
        <v xml:space="preserve">Действительно до «11» января 2022 г. 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62"/>
      <c r="S4" s="262" t="s">
        <v>211</v>
      </c>
      <c r="X4" s="262"/>
      <c r="AA4" s="603" t="str">
        <f ca="1">'Исходник '!B34</f>
        <v>29 января 2020г.</v>
      </c>
      <c r="AB4" s="554"/>
      <c r="AC4" s="554"/>
      <c r="AD4" s="554"/>
      <c r="AE4" s="554"/>
      <c r="AF4" s="554"/>
      <c r="AG4" s="554"/>
      <c r="AH4" s="554"/>
      <c r="AI4" s="554"/>
    </row>
    <row r="5" spans="1:35" s="55" customFormat="1" ht="12" customHeight="1">
      <c r="A5" s="66"/>
    </row>
    <row r="6" spans="1:35" s="55" customFormat="1" ht="15.75">
      <c r="A6" s="517" t="str">
        <f ca="1">CONCATENATE('Исходник '!A16," ",'Исходник '!F15)</f>
        <v>Протокол  №505-10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</row>
    <row r="7" spans="1:35" s="55" customFormat="1">
      <c r="A7" s="609" t="s">
        <v>212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</row>
    <row r="8" spans="1:35" s="55" customFormat="1" ht="6.75" customHeight="1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</row>
    <row r="9" spans="1:35" s="55" customFormat="1" ht="15.75">
      <c r="A9" s="517" t="s">
        <v>518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</row>
    <row r="10" spans="1:35" s="55" customFormat="1">
      <c r="A10" s="76"/>
      <c r="B10" s="76"/>
      <c r="C10" s="76"/>
      <c r="D10" s="76"/>
      <c r="E10" s="76"/>
      <c r="F10" s="296"/>
      <c r="H10" s="76"/>
      <c r="I10" s="297"/>
      <c r="J10" s="296"/>
      <c r="K10" s="297" t="s">
        <v>798</v>
      </c>
      <c r="L10" s="288">
        <f ca="1">'Исходник '!B36</f>
        <v>21</v>
      </c>
      <c r="M10" s="76" t="s">
        <v>213</v>
      </c>
      <c r="O10" s="76" t="s">
        <v>214</v>
      </c>
      <c r="Q10" s="296"/>
      <c r="R10" s="289"/>
      <c r="S10" s="76"/>
      <c r="T10" s="288">
        <f ca="1">'Исходник '!B37</f>
        <v>58</v>
      </c>
      <c r="U10" s="289" t="s">
        <v>523</v>
      </c>
      <c r="W10" s="76" t="s">
        <v>800</v>
      </c>
      <c r="Y10" s="296"/>
      <c r="Z10" s="76"/>
      <c r="AB10" s="288">
        <f ca="1">'Исходник '!B38</f>
        <v>741</v>
      </c>
      <c r="AC10" s="76"/>
      <c r="AD10" s="76" t="s">
        <v>525</v>
      </c>
    </row>
    <row r="11" spans="1:35" s="55" customFormat="1" ht="15.75">
      <c r="A11" s="517" t="s">
        <v>215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</row>
    <row r="12" spans="1:35" s="55" customFormat="1" ht="15.75">
      <c r="A12" s="856" t="str">
        <f ca="1">'Исходник '!B23</f>
        <v>эксплуатационные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</row>
    <row r="13" spans="1:35" s="55" customFormat="1">
      <c r="A13" s="715" t="s">
        <v>802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</row>
    <row r="14" spans="1:35" s="55" customFormat="1" ht="15.75" customHeight="1">
      <c r="A14" s="596" t="s">
        <v>216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</row>
    <row r="15" spans="1:35" s="55" customFormat="1" ht="15.75" customHeight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</row>
    <row r="16" spans="1:35" ht="15.75" customHeight="1">
      <c r="A16" s="664" t="s">
        <v>804</v>
      </c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</row>
    <row r="17" spans="1:35" ht="84" customHeight="1">
      <c r="A17" s="611" t="s">
        <v>540</v>
      </c>
      <c r="B17" s="611"/>
      <c r="C17" s="611" t="s">
        <v>217</v>
      </c>
      <c r="D17" s="611"/>
      <c r="E17" s="611"/>
      <c r="F17" s="611"/>
      <c r="G17" s="611"/>
      <c r="H17" s="611" t="s">
        <v>218</v>
      </c>
      <c r="I17" s="611"/>
      <c r="J17" s="611"/>
      <c r="K17" s="611" t="s">
        <v>219</v>
      </c>
      <c r="L17" s="611"/>
      <c r="M17" s="611"/>
      <c r="N17" s="611"/>
      <c r="O17" s="611" t="s">
        <v>220</v>
      </c>
      <c r="P17" s="611"/>
      <c r="Q17" s="611"/>
      <c r="R17" s="886"/>
      <c r="S17" s="611" t="s">
        <v>221</v>
      </c>
      <c r="T17" s="797"/>
      <c r="U17" s="611" t="s">
        <v>222</v>
      </c>
      <c r="V17" s="611"/>
      <c r="W17" s="611"/>
      <c r="X17" s="611" t="s">
        <v>223</v>
      </c>
      <c r="Y17" s="886"/>
      <c r="Z17" s="886"/>
      <c r="AA17" s="886"/>
      <c r="AB17" s="886"/>
      <c r="AC17" s="887"/>
      <c r="AD17" s="887"/>
      <c r="AE17" s="887"/>
      <c r="AF17" s="611" t="s">
        <v>674</v>
      </c>
      <c r="AG17" s="797"/>
      <c r="AH17" s="797"/>
      <c r="AI17" s="797"/>
    </row>
    <row r="18" spans="1:35" s="16" customFormat="1" ht="18" customHeight="1">
      <c r="A18" s="803">
        <v>1</v>
      </c>
      <c r="B18" s="803"/>
      <c r="C18" s="803">
        <v>2</v>
      </c>
      <c r="D18" s="803"/>
      <c r="E18" s="803"/>
      <c r="F18" s="803"/>
      <c r="G18" s="803"/>
      <c r="H18" s="803">
        <v>3</v>
      </c>
      <c r="I18" s="803"/>
      <c r="J18" s="803"/>
      <c r="K18" s="803">
        <v>4</v>
      </c>
      <c r="L18" s="803"/>
      <c r="M18" s="803"/>
      <c r="N18" s="803"/>
      <c r="O18" s="803">
        <v>5</v>
      </c>
      <c r="P18" s="803"/>
      <c r="Q18" s="803"/>
      <c r="R18" s="803"/>
      <c r="S18" s="803">
        <v>6</v>
      </c>
      <c r="T18" s="888"/>
      <c r="U18" s="803">
        <v>7</v>
      </c>
      <c r="V18" s="803"/>
      <c r="W18" s="803"/>
      <c r="X18" s="803">
        <v>8</v>
      </c>
      <c r="Y18" s="803"/>
      <c r="Z18" s="803"/>
      <c r="AA18" s="803"/>
      <c r="AB18" s="803"/>
      <c r="AC18" s="803"/>
      <c r="AD18" s="803"/>
      <c r="AE18" s="803"/>
      <c r="AF18" s="803">
        <v>9</v>
      </c>
      <c r="AG18" s="803"/>
      <c r="AH18" s="803"/>
      <c r="AI18" s="803"/>
    </row>
    <row r="19" spans="1:35" ht="18" customHeight="1">
      <c r="A19" s="611"/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797"/>
      <c r="U19" s="611"/>
      <c r="V19" s="797"/>
      <c r="W19" s="797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</row>
    <row r="20" spans="1:35" ht="18" customHeight="1">
      <c r="A20" s="611"/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797"/>
      <c r="U20" s="611"/>
      <c r="V20" s="797"/>
      <c r="W20" s="797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</row>
    <row r="21" spans="1:35" ht="18" customHeight="1">
      <c r="A21" s="611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797"/>
      <c r="U21" s="611"/>
      <c r="V21" s="797"/>
      <c r="W21" s="797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</row>
    <row r="22" spans="1:35" ht="18" customHeight="1">
      <c r="A22" s="611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797"/>
      <c r="U22" s="611"/>
      <c r="V22" s="797"/>
      <c r="W22" s="797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</row>
    <row r="23" spans="1:35" ht="18" customHeight="1">
      <c r="A23" s="611"/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797"/>
      <c r="U23" s="611"/>
      <c r="V23" s="797"/>
      <c r="W23" s="797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</row>
    <row r="24" spans="1:35" ht="18" customHeight="1">
      <c r="A24" s="611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797"/>
      <c r="U24" s="611"/>
      <c r="V24" s="797"/>
      <c r="W24" s="797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</row>
    <row r="25" spans="1:35" ht="18" customHeight="1">
      <c r="A25" s="611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797"/>
      <c r="U25" s="611"/>
      <c r="V25" s="797"/>
      <c r="W25" s="797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</row>
    <row r="26" spans="1:35" ht="21" customHeight="1">
      <c r="A26" s="696" t="s">
        <v>224</v>
      </c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54"/>
      <c r="AE26" s="654"/>
      <c r="AF26" s="654"/>
      <c r="AG26" s="654"/>
      <c r="AH26" s="654"/>
      <c r="AI26" s="654"/>
    </row>
    <row r="27" spans="1:35" ht="27" customHeight="1">
      <c r="A27" s="453" t="s">
        <v>540</v>
      </c>
      <c r="B27" s="486"/>
      <c r="C27" s="453" t="s">
        <v>541</v>
      </c>
      <c r="D27" s="680"/>
      <c r="E27" s="454"/>
      <c r="F27" s="679" t="s">
        <v>542</v>
      </c>
      <c r="G27" s="797"/>
      <c r="H27" s="797"/>
      <c r="I27" s="797"/>
      <c r="J27" s="679" t="s">
        <v>544</v>
      </c>
      <c r="K27" s="679"/>
      <c r="L27" s="679"/>
      <c r="M27" s="679"/>
      <c r="N27" s="679"/>
      <c r="O27" s="679"/>
      <c r="P27" s="679"/>
      <c r="Q27" s="457" t="s">
        <v>545</v>
      </c>
      <c r="R27" s="459"/>
      <c r="S27" s="459"/>
      <c r="T27" s="459"/>
      <c r="U27" s="459"/>
      <c r="V27" s="459"/>
      <c r="W27" s="459"/>
      <c r="X27" s="459"/>
      <c r="Y27" s="458"/>
      <c r="Z27" s="679" t="s">
        <v>546</v>
      </c>
      <c r="AA27" s="679"/>
      <c r="AB27" s="679"/>
      <c r="AC27" s="679"/>
      <c r="AD27" s="679"/>
      <c r="AE27" s="679"/>
      <c r="AF27" s="679"/>
      <c r="AG27" s="453" t="s">
        <v>912</v>
      </c>
      <c r="AH27" s="680"/>
      <c r="AI27" s="454"/>
    </row>
    <row r="28" spans="1:35" ht="57.75" customHeight="1">
      <c r="A28" s="481"/>
      <c r="B28" s="482"/>
      <c r="C28" s="455"/>
      <c r="D28" s="681"/>
      <c r="E28" s="456"/>
      <c r="F28" s="797"/>
      <c r="G28" s="797"/>
      <c r="H28" s="797"/>
      <c r="I28" s="797"/>
      <c r="J28" s="679" t="s">
        <v>548</v>
      </c>
      <c r="K28" s="679"/>
      <c r="L28" s="679"/>
      <c r="M28" s="679"/>
      <c r="N28" s="679" t="s">
        <v>549</v>
      </c>
      <c r="O28" s="679"/>
      <c r="P28" s="679"/>
      <c r="Q28" s="679" t="s">
        <v>550</v>
      </c>
      <c r="R28" s="679"/>
      <c r="S28" s="679"/>
      <c r="T28" s="679"/>
      <c r="U28" s="679"/>
      <c r="V28" s="679" t="s">
        <v>551</v>
      </c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455"/>
      <c r="AH28" s="681"/>
      <c r="AI28" s="456"/>
    </row>
    <row r="29" spans="1:35" ht="39.950000000000003" customHeight="1">
      <c r="A29" s="679">
        <v>1</v>
      </c>
      <c r="B29" s="797"/>
      <c r="C29" s="457" t="str">
        <f ca="1">'Исходник '!B61</f>
        <v>ИВТМ-7</v>
      </c>
      <c r="D29" s="459"/>
      <c r="E29" s="458"/>
      <c r="F29" s="679">
        <f ca="1">'Исходник '!C61</f>
        <v>20084</v>
      </c>
      <c r="G29" s="797"/>
      <c r="H29" s="797"/>
      <c r="I29" s="797"/>
      <c r="J29" s="679" t="str">
        <f ca="1">'Исходник '!F61</f>
        <v>0-99 %
-20 +60 0С</v>
      </c>
      <c r="K29" s="679"/>
      <c r="L29" s="679"/>
      <c r="M29" s="679"/>
      <c r="N29" s="679" t="str">
        <f ca="1">'Исходник '!H61</f>
        <v>± 2%
± 0,2 0С</v>
      </c>
      <c r="O29" s="679"/>
      <c r="P29" s="679"/>
      <c r="Q29" s="762">
        <f ca="1">'Исходник '!J61</f>
        <v>43517</v>
      </c>
      <c r="R29" s="762"/>
      <c r="S29" s="762"/>
      <c r="T29" s="762"/>
      <c r="U29" s="762"/>
      <c r="V29" s="487" t="str">
        <f ca="1">'Исходник '!L61</f>
        <v>21.02.2020.</v>
      </c>
      <c r="W29" s="736"/>
      <c r="X29" s="736"/>
      <c r="Y29" s="464"/>
      <c r="Z29" s="457" t="str">
        <f ca="1">'Исходник '!N61</f>
        <v>№197</v>
      </c>
      <c r="AA29" s="459"/>
      <c r="AB29" s="459"/>
      <c r="AC29" s="459"/>
      <c r="AD29" s="459"/>
      <c r="AE29" s="459"/>
      <c r="AF29" s="458"/>
      <c r="AG29" s="457" t="str">
        <f ca="1">'Исходник '!P61</f>
        <v>ООО НПК "АВИАПРИБОР"</v>
      </c>
      <c r="AH29" s="459"/>
      <c r="AI29" s="458"/>
    </row>
    <row r="30" spans="1:35" ht="39.950000000000003" customHeight="1">
      <c r="A30" s="679">
        <v>2</v>
      </c>
      <c r="B30" s="797"/>
      <c r="C30" s="457" t="str">
        <f ca="1">'Исходник '!B62</f>
        <v>Барометр М 67</v>
      </c>
      <c r="D30" s="459"/>
      <c r="E30" s="458"/>
      <c r="F30" s="679">
        <f ca="1">'Исходник '!C62</f>
        <v>74</v>
      </c>
      <c r="G30" s="797"/>
      <c r="H30" s="797"/>
      <c r="I30" s="797"/>
      <c r="J30" s="679" t="str">
        <f ca="1">'Исходник '!F62</f>
        <v>610-790
 мм.рт.ст</v>
      </c>
      <c r="K30" s="679"/>
      <c r="L30" s="679"/>
      <c r="M30" s="679"/>
      <c r="N30" s="679" t="str">
        <f ca="1">'Исходник '!H62</f>
        <v>± 0,8 мм.рт.ст.</v>
      </c>
      <c r="O30" s="679"/>
      <c r="P30" s="679"/>
      <c r="Q30" s="762">
        <f ca="1">'Исходник '!J62</f>
        <v>43517</v>
      </c>
      <c r="R30" s="762"/>
      <c r="S30" s="762"/>
      <c r="T30" s="762"/>
      <c r="U30" s="762"/>
      <c r="V30" s="487" t="str">
        <f ca="1">'Исходник '!L62</f>
        <v>21.02.2020.</v>
      </c>
      <c r="W30" s="736"/>
      <c r="X30" s="736"/>
      <c r="Y30" s="464"/>
      <c r="Z30" s="457" t="str">
        <f ca="1">'Исходник '!N62</f>
        <v>№200</v>
      </c>
      <c r="AA30" s="459"/>
      <c r="AB30" s="459"/>
      <c r="AC30" s="459"/>
      <c r="AD30" s="459"/>
      <c r="AE30" s="459"/>
      <c r="AF30" s="458"/>
      <c r="AG30" s="457" t="str">
        <f ca="1">'Исходник '!P62</f>
        <v>ООО НПК "АВИАПРИБОР"</v>
      </c>
      <c r="AH30" s="459"/>
      <c r="AI30" s="458"/>
    </row>
    <row r="31" spans="1:35" ht="50.25" customHeight="1">
      <c r="A31" s="679">
        <v>3</v>
      </c>
      <c r="B31" s="797"/>
      <c r="C31" s="457" t="str">
        <f ca="1">'Исходник '!B65</f>
        <v>Тепловизор
"TESTO 875-1"</v>
      </c>
      <c r="D31" s="459"/>
      <c r="E31" s="458"/>
      <c r="F31" s="679" t="str">
        <f ca="1">'Исходник '!C65</f>
        <v>05608751</v>
      </c>
      <c r="G31" s="797"/>
      <c r="H31" s="797"/>
      <c r="I31" s="797"/>
      <c r="J31" s="679" t="str">
        <f ca="1">'Исходник '!F65</f>
        <v>В соответствии с  руководством по эксплуатации</v>
      </c>
      <c r="K31" s="679"/>
      <c r="L31" s="679"/>
      <c r="M31" s="679"/>
      <c r="N31" s="679" t="str">
        <f ca="1">'Исходник '!H65</f>
        <v xml:space="preserve"> - </v>
      </c>
      <c r="O31" s="679"/>
      <c r="P31" s="679"/>
      <c r="Q31" s="762">
        <f ca="1">'Исходник '!J65</f>
        <v>43517</v>
      </c>
      <c r="R31" s="762"/>
      <c r="S31" s="762"/>
      <c r="T31" s="762"/>
      <c r="U31" s="762"/>
      <c r="V31" s="487" t="str">
        <f ca="1">'Исходник '!L65</f>
        <v>21.02.2020.</v>
      </c>
      <c r="W31" s="736"/>
      <c r="X31" s="736"/>
      <c r="Y31" s="464"/>
      <c r="Z31" s="457" t="str">
        <f ca="1">'Исходник '!N65</f>
        <v>№199</v>
      </c>
      <c r="AA31" s="459"/>
      <c r="AB31" s="459"/>
      <c r="AC31" s="459"/>
      <c r="AD31" s="459"/>
      <c r="AE31" s="459"/>
      <c r="AF31" s="458"/>
      <c r="AG31" s="462" t="str">
        <f ca="1">'Исходник '!P65</f>
        <v>ООО НПК "АВИАПРИБОР"</v>
      </c>
      <c r="AH31" s="773"/>
      <c r="AI31" s="463"/>
    </row>
    <row r="32" spans="1:35" ht="15.75" customHeight="1">
      <c r="A32" s="889" t="s">
        <v>90</v>
      </c>
      <c r="B32" s="890"/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890"/>
      <c r="X32" s="890"/>
      <c r="Y32" s="890"/>
      <c r="Z32" s="890"/>
      <c r="AA32" s="890"/>
      <c r="AB32" s="890"/>
      <c r="AC32" s="890"/>
      <c r="AD32" s="890"/>
      <c r="AE32" s="890"/>
      <c r="AF32" s="890"/>
      <c r="AG32" s="890"/>
      <c r="AH32" s="890"/>
      <c r="AI32" s="890"/>
    </row>
    <row r="33" spans="1:35" s="62" customFormat="1" ht="33" customHeight="1">
      <c r="A33" s="781" t="s">
        <v>225</v>
      </c>
      <c r="B33" s="781"/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468"/>
      <c r="AE33" s="468"/>
      <c r="AF33" s="468"/>
      <c r="AG33" s="468"/>
      <c r="AH33" s="468"/>
      <c r="AI33" s="468"/>
    </row>
    <row r="34" spans="1:35" ht="20.100000000000001" customHeight="1">
      <c r="A34" s="631" t="s">
        <v>790</v>
      </c>
      <c r="B34" s="631"/>
      <c r="C34" s="631"/>
      <c r="D34" s="631"/>
      <c r="E34" s="631"/>
      <c r="F34" s="631"/>
      <c r="G34" s="632" t="s">
        <v>749</v>
      </c>
      <c r="H34" s="632"/>
      <c r="I34" s="632"/>
      <c r="J34" s="632"/>
      <c r="K34" s="632"/>
      <c r="L34" s="632"/>
      <c r="M34" s="632"/>
      <c r="O34" s="632"/>
      <c r="P34" s="632"/>
      <c r="Q34" s="632"/>
      <c r="R34" s="632"/>
      <c r="S34" s="632"/>
      <c r="T34" s="632"/>
      <c r="V34" s="632" t="str">
        <f ca="1">'Исходник '!B12</f>
        <v>Евдокимов А.О.</v>
      </c>
      <c r="W34" s="632"/>
      <c r="X34" s="632"/>
      <c r="Y34" s="632"/>
      <c r="Z34" s="632"/>
      <c r="AA34" s="632"/>
      <c r="AB34" s="632"/>
      <c r="AC34" s="632"/>
    </row>
    <row r="35" spans="1:35" ht="11.25" customHeight="1">
      <c r="A35" s="23"/>
      <c r="G35" s="633" t="s">
        <v>751</v>
      </c>
      <c r="H35" s="633"/>
      <c r="I35" s="633"/>
      <c r="J35" s="633"/>
      <c r="K35" s="633"/>
      <c r="L35" s="633"/>
      <c r="M35" s="633"/>
      <c r="O35" s="633" t="s">
        <v>653</v>
      </c>
      <c r="P35" s="633"/>
      <c r="Q35" s="633"/>
      <c r="R35" s="633"/>
      <c r="S35" s="633"/>
      <c r="T35" s="633"/>
      <c r="V35" s="633" t="s">
        <v>791</v>
      </c>
      <c r="W35" s="633"/>
      <c r="X35" s="633"/>
      <c r="Y35" s="633"/>
      <c r="Z35" s="633"/>
      <c r="AA35" s="633"/>
      <c r="AB35" s="633"/>
      <c r="AC35" s="633"/>
    </row>
    <row r="36" spans="1:35" ht="20.100000000000001" customHeight="1">
      <c r="A36" s="24"/>
      <c r="G36" s="632" t="s">
        <v>792</v>
      </c>
      <c r="H36" s="632"/>
      <c r="I36" s="632"/>
      <c r="J36" s="632"/>
      <c r="K36" s="632"/>
      <c r="L36" s="632"/>
      <c r="M36" s="632"/>
      <c r="O36" s="650"/>
      <c r="P36" s="650"/>
      <c r="Q36" s="650"/>
      <c r="R36" s="650"/>
      <c r="S36" s="650"/>
      <c r="T36" s="650"/>
      <c r="V36" s="650" t="str">
        <f ca="1">'Исходник '!B13</f>
        <v>Кокшаров С.В.</v>
      </c>
      <c r="W36" s="650"/>
      <c r="X36" s="650"/>
      <c r="Y36" s="650"/>
      <c r="Z36" s="650"/>
      <c r="AA36" s="650"/>
      <c r="AB36" s="650"/>
      <c r="AC36" s="650"/>
    </row>
    <row r="37" spans="1:35" ht="12" customHeight="1">
      <c r="A37" s="23"/>
      <c r="G37" s="633" t="s">
        <v>751</v>
      </c>
      <c r="H37" s="633"/>
      <c r="I37" s="633"/>
      <c r="J37" s="633"/>
      <c r="K37" s="633"/>
      <c r="L37" s="633"/>
      <c r="M37" s="633"/>
      <c r="O37" s="633" t="s">
        <v>653</v>
      </c>
      <c r="P37" s="633"/>
      <c r="Q37" s="633"/>
      <c r="R37" s="633"/>
      <c r="S37" s="633"/>
      <c r="T37" s="633"/>
      <c r="V37" s="633" t="s">
        <v>791</v>
      </c>
      <c r="W37" s="633"/>
      <c r="X37" s="633"/>
      <c r="Y37" s="633"/>
      <c r="Z37" s="633"/>
      <c r="AA37" s="633"/>
      <c r="AB37" s="633"/>
      <c r="AC37" s="633"/>
    </row>
    <row r="38" spans="1:35" ht="20.100000000000001" customHeight="1">
      <c r="A38" s="631" t="s">
        <v>793</v>
      </c>
      <c r="B38" s="631"/>
      <c r="C38" s="631"/>
      <c r="D38" s="631"/>
      <c r="E38" s="631"/>
      <c r="F38" s="631"/>
      <c r="G38" s="632" t="s">
        <v>749</v>
      </c>
      <c r="H38" s="632"/>
      <c r="I38" s="632"/>
      <c r="J38" s="632"/>
      <c r="K38" s="632"/>
      <c r="L38" s="632"/>
      <c r="M38" s="632"/>
      <c r="O38" s="650"/>
      <c r="P38" s="650"/>
      <c r="Q38" s="650"/>
      <c r="R38" s="650"/>
      <c r="S38" s="650"/>
      <c r="T38" s="650"/>
      <c r="V38" s="632" t="str">
        <f ca="1">'Исходник '!B12</f>
        <v>Евдокимов А.О.</v>
      </c>
      <c r="W38" s="632"/>
      <c r="X38" s="632"/>
      <c r="Y38" s="632"/>
      <c r="Z38" s="632"/>
      <c r="AA38" s="632"/>
      <c r="AB38" s="632"/>
      <c r="AC38" s="632"/>
    </row>
    <row r="39" spans="1:35" s="16" customFormat="1" ht="13.5" customHeight="1">
      <c r="A39" s="23"/>
      <c r="B39"/>
      <c r="C39"/>
      <c r="D39"/>
      <c r="E39"/>
      <c r="F39"/>
      <c r="G39" s="633" t="s">
        <v>751</v>
      </c>
      <c r="H39" s="633"/>
      <c r="I39" s="633"/>
      <c r="J39" s="633"/>
      <c r="K39" s="633"/>
      <c r="L39" s="633"/>
      <c r="M39" s="633"/>
      <c r="N39"/>
      <c r="O39" s="633" t="s">
        <v>653</v>
      </c>
      <c r="P39" s="633"/>
      <c r="Q39" s="633"/>
      <c r="R39" s="633"/>
      <c r="S39" s="633"/>
      <c r="T39" s="633"/>
      <c r="U39"/>
      <c r="V39" s="633" t="s">
        <v>791</v>
      </c>
      <c r="W39" s="633"/>
      <c r="X39" s="633"/>
      <c r="Y39" s="633"/>
      <c r="Z39" s="633"/>
      <c r="AA39" s="633"/>
      <c r="AB39" s="633"/>
      <c r="AC39" s="633"/>
    </row>
    <row r="40" spans="1:35" ht="20.100000000000001" customHeight="1">
      <c r="A40" s="683" t="s">
        <v>794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444"/>
      <c r="AE40" s="444"/>
      <c r="AF40" s="444"/>
      <c r="AG40" s="444"/>
      <c r="AH40" s="444"/>
      <c r="AI40" s="444"/>
    </row>
    <row r="41" spans="1:35" ht="12.75" customHeight="1">
      <c r="A41" s="683" t="s">
        <v>795</v>
      </c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444"/>
      <c r="AE41" s="444"/>
      <c r="AF41" s="444"/>
      <c r="AG41" s="444"/>
      <c r="AH41" s="444"/>
      <c r="AI41" s="444"/>
    </row>
  </sheetData>
  <mergeCells count="157">
    <mergeCell ref="G39:M39"/>
    <mergeCell ref="O39:T39"/>
    <mergeCell ref="V39:AC39"/>
    <mergeCell ref="A40:AI40"/>
    <mergeCell ref="A41:AI41"/>
    <mergeCell ref="G36:M36"/>
    <mergeCell ref="O36:T36"/>
    <mergeCell ref="V36:AC36"/>
    <mergeCell ref="G37:M37"/>
    <mergeCell ref="O37:T37"/>
    <mergeCell ref="V37:AC37"/>
    <mergeCell ref="A38:F38"/>
    <mergeCell ref="G38:M38"/>
    <mergeCell ref="O38:T38"/>
    <mergeCell ref="V38:AC38"/>
    <mergeCell ref="A32:AI32"/>
    <mergeCell ref="A33:AI33"/>
    <mergeCell ref="A34:F34"/>
    <mergeCell ref="G34:M34"/>
    <mergeCell ref="O34:T34"/>
    <mergeCell ref="V34:AC34"/>
    <mergeCell ref="G35:M35"/>
    <mergeCell ref="O35:T35"/>
    <mergeCell ref="V35:AC35"/>
    <mergeCell ref="N31:P31"/>
    <mergeCell ref="Q31:U31"/>
    <mergeCell ref="V31:Y31"/>
    <mergeCell ref="Z31:AF31"/>
    <mergeCell ref="A31:B31"/>
    <mergeCell ref="C31:E31"/>
    <mergeCell ref="F31:I31"/>
    <mergeCell ref="J31:M31"/>
    <mergeCell ref="AG31:AI31"/>
    <mergeCell ref="A30:B30"/>
    <mergeCell ref="C30:E30"/>
    <mergeCell ref="F30:I30"/>
    <mergeCell ref="J30:M30"/>
    <mergeCell ref="N30:P30"/>
    <mergeCell ref="Q30:U30"/>
    <mergeCell ref="V30:Y30"/>
    <mergeCell ref="Z30:AF30"/>
    <mergeCell ref="AG30:AI30"/>
    <mergeCell ref="N29:P29"/>
    <mergeCell ref="Q29:U29"/>
    <mergeCell ref="V29:Y29"/>
    <mergeCell ref="Z29:AF29"/>
    <mergeCell ref="A29:B29"/>
    <mergeCell ref="C29:E29"/>
    <mergeCell ref="F29:I29"/>
    <mergeCell ref="J29:M29"/>
    <mergeCell ref="AG29:AI29"/>
    <mergeCell ref="A26:AI26"/>
    <mergeCell ref="J27:P27"/>
    <mergeCell ref="Q27:Y27"/>
    <mergeCell ref="A27:B28"/>
    <mergeCell ref="C27:E28"/>
    <mergeCell ref="F27:I28"/>
    <mergeCell ref="Z27:AF28"/>
    <mergeCell ref="AG27:AI28"/>
    <mergeCell ref="J28:M28"/>
    <mergeCell ref="N28:P28"/>
    <mergeCell ref="Q28:U28"/>
    <mergeCell ref="V28:Y28"/>
    <mergeCell ref="A25:B25"/>
    <mergeCell ref="C25:G25"/>
    <mergeCell ref="H25:J25"/>
    <mergeCell ref="K25:N25"/>
    <mergeCell ref="O25:R25"/>
    <mergeCell ref="S25:T25"/>
    <mergeCell ref="U25:W25"/>
    <mergeCell ref="X25:AE25"/>
    <mergeCell ref="AF25:AI25"/>
    <mergeCell ref="A24:B24"/>
    <mergeCell ref="C24:G24"/>
    <mergeCell ref="H24:J24"/>
    <mergeCell ref="K24:N24"/>
    <mergeCell ref="O24:R24"/>
    <mergeCell ref="S24:T24"/>
    <mergeCell ref="U24:W24"/>
    <mergeCell ref="X24:AE24"/>
    <mergeCell ref="AF24:AI24"/>
    <mergeCell ref="A23:B23"/>
    <mergeCell ref="C23:G23"/>
    <mergeCell ref="H23:J23"/>
    <mergeCell ref="K23:N23"/>
    <mergeCell ref="O23:R23"/>
    <mergeCell ref="S23:T23"/>
    <mergeCell ref="U23:W23"/>
    <mergeCell ref="X23:AE23"/>
    <mergeCell ref="AF23:AI23"/>
    <mergeCell ref="O22:R22"/>
    <mergeCell ref="S22:T22"/>
    <mergeCell ref="U22:W22"/>
    <mergeCell ref="X22:AE22"/>
    <mergeCell ref="A22:B22"/>
    <mergeCell ref="C22:G22"/>
    <mergeCell ref="H22:J22"/>
    <mergeCell ref="K22:N22"/>
    <mergeCell ref="AF22:AI22"/>
    <mergeCell ref="A21:B21"/>
    <mergeCell ref="C21:G21"/>
    <mergeCell ref="H21:J21"/>
    <mergeCell ref="K21:N21"/>
    <mergeCell ref="O21:R21"/>
    <mergeCell ref="S21:T21"/>
    <mergeCell ref="U21:W21"/>
    <mergeCell ref="X21:AE21"/>
    <mergeCell ref="AF21:AI21"/>
    <mergeCell ref="O20:R20"/>
    <mergeCell ref="S20:T20"/>
    <mergeCell ref="U20:W20"/>
    <mergeCell ref="X20:AE20"/>
    <mergeCell ref="A20:B20"/>
    <mergeCell ref="C20:G20"/>
    <mergeCell ref="H20:J20"/>
    <mergeCell ref="K20:N20"/>
    <mergeCell ref="AF20:AI20"/>
    <mergeCell ref="A19:B19"/>
    <mergeCell ref="C19:G19"/>
    <mergeCell ref="H19:J19"/>
    <mergeCell ref="K19:N19"/>
    <mergeCell ref="O19:R19"/>
    <mergeCell ref="S19:T19"/>
    <mergeCell ref="U19:W19"/>
    <mergeCell ref="X19:AE19"/>
    <mergeCell ref="AF19:AI19"/>
    <mergeCell ref="U18:W18"/>
    <mergeCell ref="X18:AE18"/>
    <mergeCell ref="A18:B18"/>
    <mergeCell ref="C18:G18"/>
    <mergeCell ref="H18:J18"/>
    <mergeCell ref="K18:N18"/>
    <mergeCell ref="C17:G17"/>
    <mergeCell ref="H17:J17"/>
    <mergeCell ref="K17:N17"/>
    <mergeCell ref="O17:R17"/>
    <mergeCell ref="O18:R18"/>
    <mergeCell ref="S18:T18"/>
    <mergeCell ref="S17:T17"/>
    <mergeCell ref="U17:W17"/>
    <mergeCell ref="X17:AE17"/>
    <mergeCell ref="AF17:AI17"/>
    <mergeCell ref="AF18:AI18"/>
    <mergeCell ref="A12:AI12"/>
    <mergeCell ref="A13:AI13"/>
    <mergeCell ref="A14:AI15"/>
    <mergeCell ref="A16:AC16"/>
    <mergeCell ref="A17:B17"/>
    <mergeCell ref="A11:AI11"/>
    <mergeCell ref="AA4:AI4"/>
    <mergeCell ref="A6:AI6"/>
    <mergeCell ref="A7:AI8"/>
    <mergeCell ref="A9:AI9"/>
    <mergeCell ref="V1:AI1"/>
    <mergeCell ref="B2:F2"/>
    <mergeCell ref="V2:AI2"/>
    <mergeCell ref="V3:AI3"/>
  </mergeCells>
  <phoneticPr fontId="0" type="noConversion"/>
  <pageMargins left="0.70833299999999999" right="0.70833299999999999" top="0.74791700000000005" bottom="0.74791700000000005" header="0.315278" footer="0.315278"/>
  <pageSetup paperSize="9" fitToWidth="0" orientation="landscape"/>
  <headerFooter>
    <oddFooter>&amp;C&amp;A стр.&amp;P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115" workbookViewId="0">
      <selection activeCell="B15" sqref="B15:M15"/>
    </sheetView>
  </sheetViews>
  <sheetFormatPr defaultRowHeight="12.75"/>
  <cols>
    <col min="1" max="1" width="2.7109375" customWidth="1"/>
    <col min="2" max="3" width="3.28515625" customWidth="1"/>
    <col min="4" max="4" width="4" customWidth="1"/>
    <col min="5" max="21" width="3.28515625" customWidth="1"/>
    <col min="22" max="22" width="4.28515625" customWidth="1"/>
    <col min="23" max="24" width="3.28515625" customWidth="1"/>
    <col min="25" max="25" width="2.7109375" customWidth="1"/>
    <col min="26" max="27" width="3.28515625" customWidth="1"/>
    <col min="28" max="29" width="2.7109375" customWidth="1"/>
    <col min="30" max="30" width="3.28515625" customWidth="1"/>
  </cols>
  <sheetData>
    <row r="1" spans="1:30" ht="3.75" customHeight="1"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</row>
    <row r="2" spans="1:30" ht="20.25">
      <c r="A2" s="419"/>
      <c r="B2" s="499" t="str">
        <f ca="1">'Исходник '!A1</f>
        <v>ОБЩЕСТВО С ОГРАНИЧЕННОЙ ОТВЕТСТВЕННОСТЬЮ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20"/>
    </row>
    <row r="3" spans="1:30" ht="20.25">
      <c r="A3" s="421"/>
      <c r="B3" s="498" t="str">
        <f ca="1">'Исходник '!A2</f>
        <v>«ТМ-Электро»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23"/>
      <c r="AD3" s="15"/>
    </row>
    <row r="4" spans="1:30" ht="15.75">
      <c r="A4" s="421"/>
      <c r="B4" s="500" t="str">
        <f ca="1">'Исходник '!A4</f>
        <v>ИСПЫТАТЕЛЬНАЯ ЛАБОРАТОРИЯ ЭЛЕКТРОУСТАНОВОК ЗДАНИЙ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424"/>
      <c r="AD4" s="6"/>
    </row>
    <row r="5" spans="1:30" ht="15.75">
      <c r="A5" s="421"/>
      <c r="B5" s="14"/>
      <c r="C5" s="14"/>
      <c r="AC5" s="422"/>
    </row>
    <row r="6" spans="1:30" ht="18" customHeight="1">
      <c r="A6" s="421"/>
      <c r="B6" s="6" t="s">
        <v>459</v>
      </c>
      <c r="C6" s="6"/>
      <c r="D6" s="6"/>
      <c r="E6" s="6"/>
      <c r="T6" s="16"/>
      <c r="AB6" s="17" t="str">
        <f ca="1">'Исходник '!B5</f>
        <v>№ 6231-2</v>
      </c>
      <c r="AC6" s="422"/>
    </row>
    <row r="7" spans="1:30" ht="18" customHeight="1">
      <c r="A7" s="421"/>
      <c r="B7" s="6" t="s">
        <v>612</v>
      </c>
      <c r="C7" s="6"/>
      <c r="D7" s="6"/>
      <c r="E7" s="6"/>
      <c r="AB7" s="18"/>
      <c r="AC7" s="422"/>
    </row>
    <row r="8" spans="1:30" ht="18" customHeight="1">
      <c r="A8" s="421"/>
      <c r="B8" s="6" t="s">
        <v>613</v>
      </c>
      <c r="C8" s="6"/>
      <c r="D8" s="6"/>
      <c r="E8" s="6"/>
      <c r="AB8" s="17" t="str">
        <f ca="1">'Исходник '!B6</f>
        <v xml:space="preserve">«11» января 2019 г. </v>
      </c>
      <c r="AC8" s="422"/>
    </row>
    <row r="9" spans="1:30" ht="18" customHeight="1">
      <c r="A9" s="421"/>
      <c r="B9" s="6" t="s">
        <v>614</v>
      </c>
      <c r="C9" s="6"/>
      <c r="D9" s="6"/>
      <c r="E9" s="6"/>
      <c r="AB9" s="18"/>
      <c r="AC9" s="422"/>
    </row>
    <row r="10" spans="1:30" ht="18" customHeight="1">
      <c r="A10" s="421"/>
      <c r="B10" s="6" t="s">
        <v>615</v>
      </c>
      <c r="C10" s="6"/>
      <c r="D10" s="6"/>
      <c r="E10" s="6"/>
      <c r="AB10" s="18"/>
      <c r="AC10" s="422"/>
    </row>
    <row r="11" spans="1:30" ht="18" customHeight="1">
      <c r="A11" s="421"/>
      <c r="B11" s="6" t="s">
        <v>616</v>
      </c>
      <c r="C11" s="6"/>
      <c r="D11" s="6"/>
      <c r="E11" s="6"/>
      <c r="AB11" s="18"/>
      <c r="AC11" s="422"/>
    </row>
    <row r="12" spans="1:30" ht="18" customHeight="1">
      <c r="A12" s="421"/>
      <c r="B12" s="6" t="s">
        <v>617</v>
      </c>
      <c r="C12" s="6"/>
      <c r="D12" s="6"/>
      <c r="E12" s="6"/>
      <c r="AB12" s="17" t="str">
        <f ca="1">CONCATENATE('Исходник '!A7," ",'Исходник '!B7)</f>
        <v xml:space="preserve">Действительно до «11» января 2022 г. </v>
      </c>
      <c r="AC12" s="422"/>
    </row>
    <row r="13" spans="1:30" ht="18" customHeight="1">
      <c r="A13" s="421"/>
      <c r="B13" s="4"/>
      <c r="C13" s="19"/>
      <c r="AC13" s="422"/>
    </row>
    <row r="14" spans="1:30" ht="18" customHeight="1">
      <c r="A14" s="421"/>
      <c r="B14" s="6" t="s">
        <v>465</v>
      </c>
      <c r="C14" s="6"/>
      <c r="D14" s="6"/>
      <c r="E14" s="6"/>
      <c r="Q14" s="6" t="s">
        <v>467</v>
      </c>
      <c r="AC14" s="422"/>
    </row>
    <row r="15" spans="1:30" ht="25.5" customHeight="1">
      <c r="A15" s="421"/>
      <c r="B15" s="495" t="s">
        <v>406</v>
      </c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Q15" s="496">
        <f ca="1">'Исходник '!B10</f>
        <v>0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97"/>
    </row>
    <row r="16" spans="1:30" ht="18" customHeight="1">
      <c r="A16" s="421"/>
      <c r="B16" s="7"/>
      <c r="Q16" s="7" t="str">
        <f ca="1">CONCATENATE('Исходник '!A11," ",'Исходник '!B11)</f>
        <v xml:space="preserve">Тел./факс: (499) 977-91-07 </v>
      </c>
      <c r="AC16" s="422"/>
    </row>
    <row r="17" spans="1:30">
      <c r="A17" s="421"/>
      <c r="B17" s="7"/>
      <c r="AC17" s="422"/>
    </row>
    <row r="18" spans="1:30" ht="20.25">
      <c r="A18" s="425"/>
      <c r="B18" s="337"/>
      <c r="C18" s="337"/>
      <c r="D18" s="502" t="str">
        <f ca="1">'Исходник '!A17</f>
        <v>ТЕХНИЧЕСКИЙ ОТЧЁТ</v>
      </c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444"/>
      <c r="S18" s="119" t="s">
        <v>618</v>
      </c>
      <c r="T18" s="498">
        <f ca="1">'Исходник '!B17</f>
        <v>505</v>
      </c>
      <c r="U18" s="444"/>
      <c r="W18" s="15"/>
      <c r="X18" s="15"/>
      <c r="AC18" s="422"/>
      <c r="AD18" s="15"/>
    </row>
    <row r="19" spans="1:30" ht="20.25">
      <c r="A19" s="421"/>
      <c r="B19" s="498" t="s">
        <v>619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23"/>
      <c r="AD19" s="15"/>
    </row>
    <row r="20" spans="1:30" ht="20.25">
      <c r="A20" s="421"/>
      <c r="B20" s="3"/>
      <c r="AC20" s="422"/>
    </row>
    <row r="21" spans="1:30" ht="18" customHeight="1">
      <c r="A21" s="421"/>
      <c r="B21" s="9" t="s">
        <v>499</v>
      </c>
      <c r="C21" s="9"/>
      <c r="D21" s="9"/>
      <c r="E21" s="9"/>
      <c r="H21" s="503" t="str">
        <f ca="1">'Исходник '!B23</f>
        <v>эксплуатационные</v>
      </c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422"/>
    </row>
    <row r="22" spans="1:30" ht="18" customHeight="1">
      <c r="A22" s="421"/>
      <c r="H22" s="504" t="s">
        <v>620</v>
      </c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422"/>
    </row>
    <row r="23" spans="1:30" ht="18" customHeight="1">
      <c r="A23" s="421"/>
      <c r="B23" s="9" t="s">
        <v>621</v>
      </c>
      <c r="C23" s="9"/>
      <c r="F23" s="503">
        <f ca="1">'Исходник '!B19</f>
        <v>0</v>
      </c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422"/>
    </row>
    <row r="24" spans="1:30" ht="18" customHeight="1">
      <c r="A24" s="421"/>
      <c r="B24" s="9" t="s">
        <v>622</v>
      </c>
      <c r="C24" s="9"/>
      <c r="D24" s="9"/>
      <c r="E24" s="9"/>
      <c r="J24" s="505" t="str">
        <f ca="1">'Исходник '!B20</f>
        <v>Фитнес-клуб</v>
      </c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422"/>
    </row>
    <row r="25" spans="1:30" ht="18" customHeight="1">
      <c r="A25" s="421"/>
      <c r="B25" s="9" t="s">
        <v>623</v>
      </c>
      <c r="C25" s="9"/>
      <c r="AC25" s="422"/>
    </row>
    <row r="26" spans="1:30" ht="18" customHeight="1">
      <c r="A26" s="421"/>
      <c r="B26" s="9" t="s">
        <v>624</v>
      </c>
      <c r="C26" s="9"/>
      <c r="E26" s="503">
        <f ca="1">'Исходник '!B21</f>
        <v>0</v>
      </c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422"/>
    </row>
    <row r="27" spans="1:30" ht="18" customHeight="1">
      <c r="A27" s="421"/>
      <c r="B27" s="6"/>
      <c r="C27" s="6"/>
      <c r="AC27" s="422"/>
    </row>
    <row r="28" spans="1:30" ht="18" customHeight="1">
      <c r="A28" s="421"/>
      <c r="B28" s="9" t="s">
        <v>510</v>
      </c>
      <c r="C28" s="9"/>
      <c r="D28" s="9"/>
      <c r="E28" s="9"/>
      <c r="AC28" s="422"/>
    </row>
    <row r="29" spans="1:30" ht="18" customHeight="1">
      <c r="A29" s="421"/>
      <c r="B29" s="9"/>
      <c r="I29" s="6" t="s">
        <v>512</v>
      </c>
      <c r="W29" s="501" t="str">
        <f ca="1">'Исходник '!B30</f>
        <v>23 января 2020г.</v>
      </c>
      <c r="X29" s="501"/>
      <c r="Y29" s="501"/>
      <c r="Z29" s="501"/>
      <c r="AA29" s="501"/>
      <c r="AB29" s="501"/>
      <c r="AC29" s="422"/>
    </row>
    <row r="30" spans="1:30" ht="18" customHeight="1">
      <c r="A30" s="421"/>
      <c r="B30" s="6"/>
      <c r="I30" s="4" t="s">
        <v>515</v>
      </c>
      <c r="W30" s="501" t="str">
        <f ca="1">'Исходник '!B32</f>
        <v>29 января 2020г.</v>
      </c>
      <c r="X30" s="501"/>
      <c r="Y30" s="501"/>
      <c r="Z30" s="501"/>
      <c r="AA30" s="501"/>
      <c r="AB30" s="501"/>
      <c r="AC30" s="422"/>
    </row>
    <row r="31" spans="1:30" ht="18" customHeight="1">
      <c r="A31" s="421"/>
      <c r="B31" s="9" t="s">
        <v>625</v>
      </c>
      <c r="C31" s="9"/>
      <c r="D31" s="9"/>
      <c r="G31" s="507">
        <f ca="1">'Список Т.Д. к Т.О. №505'!AD21</f>
        <v>32</v>
      </c>
      <c r="H31" s="507"/>
      <c r="AC31" s="422"/>
    </row>
    <row r="32" spans="1:30" ht="18" customHeight="1">
      <c r="A32" s="421"/>
      <c r="B32" s="6"/>
      <c r="C32" s="6"/>
      <c r="AC32" s="422"/>
    </row>
    <row r="33" spans="1:30" ht="18" customHeight="1">
      <c r="A33" s="421"/>
      <c r="B33" s="6"/>
      <c r="C33" s="6"/>
      <c r="AC33" s="422"/>
    </row>
    <row r="34" spans="1:30" ht="18" customHeight="1">
      <c r="A34" s="421"/>
      <c r="B34" s="6" t="s">
        <v>472</v>
      </c>
      <c r="C34" s="6"/>
      <c r="D34" s="6"/>
      <c r="E34" s="6"/>
      <c r="AC34" s="422"/>
    </row>
    <row r="35" spans="1:30" ht="18" customHeight="1">
      <c r="A35" s="421"/>
      <c r="B35" s="500" t="s">
        <v>626</v>
      </c>
      <c r="C35" s="500"/>
      <c r="D35" s="508"/>
      <c r="E35" s="508"/>
      <c r="F35" s="508"/>
      <c r="G35" s="508"/>
      <c r="H35" s="508"/>
      <c r="I35" s="508"/>
      <c r="J35" s="508"/>
      <c r="K35" s="508"/>
      <c r="L35" s="4" t="str">
        <f ca="1">'Исходник '!B12</f>
        <v>Евдокимов А.О.</v>
      </c>
      <c r="AC35" s="422"/>
    </row>
    <row r="36" spans="1:30" ht="18" customHeight="1">
      <c r="A36" s="421"/>
      <c r="B36" s="20"/>
      <c r="D36" s="504" t="s">
        <v>627</v>
      </c>
      <c r="E36" s="504"/>
      <c r="F36" s="504"/>
      <c r="G36" s="504"/>
      <c r="H36" s="504"/>
      <c r="I36" s="504"/>
      <c r="J36" s="504"/>
      <c r="K36" s="504"/>
      <c r="AC36" s="422"/>
    </row>
    <row r="37" spans="1:30" ht="22.5" customHeight="1">
      <c r="A37" s="421"/>
      <c r="B37" s="2"/>
      <c r="C37" s="2"/>
      <c r="AC37" s="422"/>
    </row>
    <row r="38" spans="1:30" ht="44.25" customHeight="1">
      <c r="A38" s="421"/>
      <c r="B38" s="21"/>
      <c r="AC38" s="422"/>
    </row>
    <row r="39" spans="1:30" ht="18" customHeight="1">
      <c r="A39" s="421"/>
      <c r="B39" s="509" t="s">
        <v>628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10"/>
      <c r="AD39" s="2"/>
    </row>
    <row r="40" spans="1:30" ht="18" customHeight="1">
      <c r="A40" s="421"/>
      <c r="B40" s="509" t="s">
        <v>629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10"/>
      <c r="AD40" s="2"/>
    </row>
    <row r="41" spans="1:30" ht="18" customHeight="1">
      <c r="A41" s="421"/>
      <c r="B41" s="77" t="s">
        <v>630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511" t="str">
        <f ca="1">'Исходник '!B3</f>
        <v>ООО «ТМ-Электро»</v>
      </c>
      <c r="V41" s="512"/>
      <c r="W41" s="512"/>
      <c r="X41" s="512"/>
      <c r="Y41" s="512"/>
      <c r="Z41" s="512"/>
      <c r="AA41" s="512"/>
      <c r="AB41" s="512"/>
      <c r="AC41" s="513"/>
      <c r="AD41" s="2"/>
    </row>
    <row r="42" spans="1:30" ht="18" customHeight="1">
      <c r="A42" s="421"/>
      <c r="B42" s="509" t="s">
        <v>631</v>
      </c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426"/>
      <c r="AD42" s="2"/>
    </row>
    <row r="43" spans="1:30" ht="18" customHeight="1">
      <c r="A43" s="421"/>
      <c r="B43" s="509" t="str">
        <f ca="1">'Исходник '!B14</f>
        <v>г. Москва 2020г.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426"/>
      <c r="AD43" s="2"/>
    </row>
    <row r="44" spans="1:30" ht="18" customHeight="1">
      <c r="A44" s="427"/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428"/>
      <c r="AD44" s="2"/>
    </row>
    <row r="45" spans="1:30" ht="15">
      <c r="B45" s="21"/>
    </row>
    <row r="46" spans="1:30" ht="15.75">
      <c r="B46" s="6"/>
    </row>
  </sheetData>
  <mergeCells count="26">
    <mergeCell ref="B44:AB44"/>
    <mergeCell ref="G31:H31"/>
    <mergeCell ref="B35:C35"/>
    <mergeCell ref="D35:K35"/>
    <mergeCell ref="D36:K36"/>
    <mergeCell ref="B39:AC39"/>
    <mergeCell ref="B40:AC40"/>
    <mergeCell ref="U41:AC41"/>
    <mergeCell ref="B42:AB42"/>
    <mergeCell ref="B43:AB43"/>
    <mergeCell ref="W30:AB30"/>
    <mergeCell ref="D18:R18"/>
    <mergeCell ref="T18:U18"/>
    <mergeCell ref="B19:AB19"/>
    <mergeCell ref="H21:AB21"/>
    <mergeCell ref="H22:AB22"/>
    <mergeCell ref="F23:AB23"/>
    <mergeCell ref="J24:AB24"/>
    <mergeCell ref="E26:AB26"/>
    <mergeCell ref="W29:AB29"/>
    <mergeCell ref="B15:M15"/>
    <mergeCell ref="Q15:AC15"/>
    <mergeCell ref="B1:AB1"/>
    <mergeCell ref="B2:AB2"/>
    <mergeCell ref="B3:AB3"/>
    <mergeCell ref="B4:AB4"/>
  </mergeCells>
  <phoneticPr fontId="0" type="noConversion"/>
  <hyperlinks>
    <hyperlink ref="B15" r:id="rId1"/>
  </hyperlinks>
  <pageMargins left="0.59027799999999997" right="0.39374999999999999" top="0.27986100000000003" bottom="0.25972200000000001" header="0.47986099999999998" footer="0.34027800000000002"/>
  <pageSetup paperSize="9" fitToWidth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3"/>
  <sheetViews>
    <sheetView topLeftCell="A31" workbookViewId="0">
      <selection activeCell="AK43" sqref="AK43"/>
    </sheetView>
  </sheetViews>
  <sheetFormatPr defaultRowHeight="12.75"/>
  <cols>
    <col min="1" max="1" width="5" customWidth="1"/>
    <col min="2" max="2" width="0.5703125" customWidth="1"/>
    <col min="3" max="3" width="7.5703125" customWidth="1"/>
    <col min="4" max="4" width="5.42578125" customWidth="1"/>
    <col min="5" max="5" width="3.5703125" customWidth="1"/>
    <col min="6" max="6" width="5" customWidth="1"/>
    <col min="7" max="7" width="3.28515625" customWidth="1"/>
    <col min="8" max="8" width="1.5703125" customWidth="1"/>
    <col min="9" max="10" width="3.28515625" customWidth="1"/>
    <col min="11" max="11" width="1.5703125" customWidth="1"/>
    <col min="12" max="12" width="2.42578125" customWidth="1"/>
    <col min="13" max="13" width="7.5703125" customWidth="1"/>
    <col min="14" max="14" width="6" customWidth="1"/>
    <col min="15" max="15" width="1.85546875" customWidth="1"/>
    <col min="16" max="16" width="4.7109375" customWidth="1"/>
    <col min="17" max="17" width="2" customWidth="1"/>
    <col min="18" max="18" width="4.42578125" customWidth="1"/>
    <col min="19" max="19" width="5.28515625" customWidth="1"/>
    <col min="20" max="20" width="5.5703125" customWidth="1"/>
    <col min="21" max="21" width="2.140625" customWidth="1"/>
    <col min="22" max="22" width="4.28515625" customWidth="1"/>
    <col min="23" max="23" width="5.7109375" customWidth="1"/>
    <col min="24" max="24" width="3.5703125" customWidth="1"/>
    <col min="25" max="25" width="2.5703125" customWidth="1"/>
    <col min="26" max="26" width="4.28515625" customWidth="1"/>
    <col min="27" max="27" width="2.28515625" customWidth="1"/>
    <col min="28" max="28" width="3.85546875" customWidth="1"/>
    <col min="29" max="29" width="1" customWidth="1"/>
    <col min="30" max="30" width="1.28515625" customWidth="1"/>
    <col min="31" max="31" width="1.140625" customWidth="1"/>
    <col min="32" max="32" width="3.28515625" customWidth="1"/>
    <col min="33" max="33" width="2.140625" customWidth="1"/>
    <col min="34" max="34" width="8" customWidth="1"/>
    <col min="35" max="35" width="5.7109375" customWidth="1"/>
  </cols>
  <sheetData>
    <row r="1" spans="1:35" s="55" customFormat="1" ht="16.5" customHeight="1">
      <c r="A1" s="66"/>
      <c r="B1" s="64" t="str">
        <f ca="1">'Исходник '!B3</f>
        <v>ООО «ТМ-Электро»</v>
      </c>
      <c r="C1" s="64"/>
      <c r="O1" s="64"/>
      <c r="R1" s="295"/>
      <c r="S1" s="64" t="s">
        <v>489</v>
      </c>
      <c r="V1" s="603">
        <f ca="1">'Исходник '!B19</f>
        <v>0</v>
      </c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</row>
    <row r="2" spans="1:35" s="55" customFormat="1" ht="15.75" customHeight="1">
      <c r="A2" s="66"/>
      <c r="B2" s="504" t="s">
        <v>632</v>
      </c>
      <c r="C2" s="516"/>
      <c r="D2" s="516"/>
      <c r="E2" s="516"/>
      <c r="F2" s="516"/>
      <c r="G2" s="298"/>
      <c r="H2" s="298"/>
      <c r="I2" s="36"/>
      <c r="J2" s="36"/>
      <c r="K2" s="36"/>
      <c r="L2" s="36"/>
      <c r="M2" s="36"/>
      <c r="N2" s="36"/>
      <c r="O2" s="262"/>
      <c r="Q2" s="36"/>
      <c r="R2" s="100"/>
      <c r="S2" s="262" t="s">
        <v>491</v>
      </c>
      <c r="V2" s="603" t="str">
        <f ca="1">'Исходник '!B20</f>
        <v>Фитнес-клуб</v>
      </c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554"/>
      <c r="AI2" s="554"/>
    </row>
    <row r="3" spans="1:35" s="55" customFormat="1" ht="15" customHeight="1">
      <c r="A3" s="66"/>
      <c r="B3" s="100" t="str">
        <f ca="1">CONCATENATE('Исходник '!A5," ",'Исходник '!B5)</f>
        <v>Свидетельство о регистрации № 6231-2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2"/>
      <c r="Q3" s="100"/>
      <c r="S3" s="262" t="s">
        <v>494</v>
      </c>
      <c r="V3" s="603">
        <f ca="1">'Исходник '!B21</f>
        <v>0</v>
      </c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</row>
    <row r="4" spans="1:35" s="55" customFormat="1" ht="15" customHeight="1">
      <c r="A4" s="66"/>
      <c r="B4" s="100" t="str">
        <f ca="1">CONCATENATE('Исходник '!A7," ",'Исходник '!B7)</f>
        <v xml:space="preserve">Действительно до «11» января 2022 г. 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62"/>
      <c r="S4" s="262" t="s">
        <v>211</v>
      </c>
      <c r="X4" s="262"/>
      <c r="AA4" s="603" t="str">
        <f ca="1">'Исходник '!B34</f>
        <v>29 января 2020г.</v>
      </c>
      <c r="AB4" s="554"/>
      <c r="AC4" s="554"/>
      <c r="AD4" s="554"/>
      <c r="AE4" s="554"/>
      <c r="AF4" s="554"/>
      <c r="AG4" s="554"/>
      <c r="AH4" s="554"/>
      <c r="AI4" s="554"/>
    </row>
    <row r="5" spans="1:35" s="55" customFormat="1" ht="12" customHeight="1">
      <c r="A5" s="66"/>
    </row>
    <row r="6" spans="1:35" s="55" customFormat="1" ht="15.75">
      <c r="A6" s="517" t="str">
        <f ca="1">CONCATENATE('Исходник '!A16," ",'Исходник '!F16)</f>
        <v>Протокол  №505-11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</row>
    <row r="7" spans="1:35" s="55" customFormat="1" ht="15.75">
      <c r="A7" s="517" t="s">
        <v>226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</row>
    <row r="8" spans="1:35" s="55" customFormat="1" ht="15.75">
      <c r="A8" s="517" t="s">
        <v>518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</row>
    <row r="9" spans="1:35" s="55" customFormat="1">
      <c r="A9" s="76"/>
      <c r="B9" s="76"/>
      <c r="C9" s="76"/>
      <c r="D9" s="76"/>
      <c r="E9" s="76"/>
      <c r="F9" s="296"/>
      <c r="H9" s="76"/>
      <c r="I9" s="297"/>
      <c r="J9" s="296"/>
      <c r="K9" s="297" t="s">
        <v>798</v>
      </c>
      <c r="L9" s="288">
        <f ca="1">'Исходник '!B36</f>
        <v>21</v>
      </c>
      <c r="M9" s="76" t="s">
        <v>213</v>
      </c>
      <c r="O9" s="76" t="s">
        <v>214</v>
      </c>
      <c r="Q9" s="296"/>
      <c r="R9" s="289"/>
      <c r="S9" s="76"/>
      <c r="T9" s="288">
        <f ca="1">'Исходник '!B37</f>
        <v>58</v>
      </c>
      <c r="U9" s="289" t="s">
        <v>523</v>
      </c>
      <c r="W9" s="76" t="s">
        <v>800</v>
      </c>
      <c r="Y9" s="296"/>
      <c r="Z9" s="76"/>
      <c r="AB9" s="288">
        <f ca="1">'Исходник '!B38</f>
        <v>741</v>
      </c>
      <c r="AC9" s="76"/>
      <c r="AD9" s="76" t="s">
        <v>525</v>
      </c>
    </row>
    <row r="10" spans="1:35" s="55" customFormat="1" ht="15.75">
      <c r="A10" s="517" t="s">
        <v>215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</row>
    <row r="11" spans="1:35" s="55" customFormat="1" ht="15.75">
      <c r="A11" s="856" t="str">
        <f ca="1">'Исходник '!B23</f>
        <v>эксплуатационные</v>
      </c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856"/>
      <c r="AD11" s="856"/>
      <c r="AE11" s="856"/>
      <c r="AF11" s="856"/>
      <c r="AG11" s="856"/>
      <c r="AH11" s="856"/>
      <c r="AI11" s="856"/>
    </row>
    <row r="12" spans="1:35" s="55" customFormat="1">
      <c r="A12" s="715" t="s">
        <v>802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</row>
    <row r="13" spans="1:35" s="55" customFormat="1" ht="15.75" customHeight="1">
      <c r="A13" s="596" t="s">
        <v>227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</row>
    <row r="14" spans="1:35" s="55" customFormat="1" ht="15.75" customHeight="1">
      <c r="A14" s="517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</row>
    <row r="15" spans="1:35" ht="24.75" customHeight="1">
      <c r="A15" s="664" t="s">
        <v>804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</row>
    <row r="16" spans="1:35" ht="84" customHeight="1">
      <c r="A16" s="611" t="s">
        <v>540</v>
      </c>
      <c r="B16" s="611"/>
      <c r="C16" s="611" t="s">
        <v>228</v>
      </c>
      <c r="D16" s="611"/>
      <c r="E16" s="611"/>
      <c r="F16" s="611"/>
      <c r="G16" s="611"/>
      <c r="H16" s="622" t="s">
        <v>229</v>
      </c>
      <c r="I16" s="623"/>
      <c r="J16" s="623"/>
      <c r="K16" s="736"/>
      <c r="L16" s="736"/>
      <c r="M16" s="736"/>
      <c r="N16" s="464"/>
      <c r="O16" s="622" t="s">
        <v>230</v>
      </c>
      <c r="P16" s="736"/>
      <c r="Q16" s="736"/>
      <c r="R16" s="736"/>
      <c r="S16" s="736"/>
      <c r="T16" s="464"/>
      <c r="U16" s="622" t="s">
        <v>231</v>
      </c>
      <c r="V16" s="623"/>
      <c r="W16" s="623"/>
      <c r="X16" s="736"/>
      <c r="Y16" s="736"/>
      <c r="Z16" s="736"/>
      <c r="AA16" s="736"/>
      <c r="AB16" s="464"/>
      <c r="AC16" s="891" t="s">
        <v>232</v>
      </c>
      <c r="AD16" s="892"/>
      <c r="AE16" s="892"/>
      <c r="AF16" s="892"/>
      <c r="AG16" s="892"/>
      <c r="AH16" s="892"/>
      <c r="AI16" s="893"/>
    </row>
    <row r="17" spans="1:35" s="16" customFormat="1" ht="18" customHeight="1">
      <c r="A17" s="803">
        <v>1</v>
      </c>
      <c r="B17" s="803"/>
      <c r="C17" s="803">
        <v>2</v>
      </c>
      <c r="D17" s="803"/>
      <c r="E17" s="803"/>
      <c r="F17" s="803"/>
      <c r="G17" s="803"/>
      <c r="H17" s="793">
        <v>3</v>
      </c>
      <c r="I17" s="794"/>
      <c r="J17" s="794"/>
      <c r="K17" s="736"/>
      <c r="L17" s="736"/>
      <c r="M17" s="736"/>
      <c r="N17" s="464"/>
      <c r="O17" s="793">
        <v>5</v>
      </c>
      <c r="P17" s="794"/>
      <c r="Q17" s="794"/>
      <c r="R17" s="794"/>
      <c r="S17" s="736"/>
      <c r="T17" s="464"/>
      <c r="U17" s="793">
        <v>7</v>
      </c>
      <c r="V17" s="794"/>
      <c r="W17" s="794"/>
      <c r="X17" s="736"/>
      <c r="Y17" s="736"/>
      <c r="Z17" s="736"/>
      <c r="AA17" s="736"/>
      <c r="AB17" s="464"/>
      <c r="AC17" s="793">
        <v>9</v>
      </c>
      <c r="AD17" s="794"/>
      <c r="AE17" s="794"/>
      <c r="AF17" s="897"/>
      <c r="AG17" s="794"/>
      <c r="AH17" s="794"/>
      <c r="AI17" s="795"/>
    </row>
    <row r="18" spans="1:35" s="16" customFormat="1" ht="18" customHeight="1">
      <c r="A18" s="771" t="s">
        <v>233</v>
      </c>
      <c r="B18" s="772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7"/>
      <c r="AF18" s="897"/>
      <c r="AG18" s="897"/>
      <c r="AH18" s="897"/>
      <c r="AI18" s="898"/>
    </row>
    <row r="19" spans="1:35" s="16" customFormat="1" ht="18" customHeight="1">
      <c r="A19" s="771" t="s">
        <v>234</v>
      </c>
      <c r="B19" s="772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7"/>
      <c r="AI19" s="898"/>
    </row>
    <row r="20" spans="1:35" ht="18" customHeight="1">
      <c r="A20" s="611">
        <v>1</v>
      </c>
      <c r="B20" s="611"/>
      <c r="C20" s="611" t="s">
        <v>235</v>
      </c>
      <c r="D20" s="611"/>
      <c r="E20" s="611"/>
      <c r="F20" s="611"/>
      <c r="G20" s="611"/>
      <c r="H20" s="894" t="s">
        <v>236</v>
      </c>
      <c r="I20" s="895"/>
      <c r="J20" s="895"/>
      <c r="K20" s="895"/>
      <c r="L20" s="895"/>
      <c r="M20" s="895"/>
      <c r="N20" s="896"/>
      <c r="O20" s="622" t="s">
        <v>237</v>
      </c>
      <c r="P20" s="623"/>
      <c r="Q20" s="623"/>
      <c r="R20" s="623"/>
      <c r="S20" s="623"/>
      <c r="T20" s="624"/>
      <c r="U20" s="622" t="s">
        <v>237</v>
      </c>
      <c r="V20" s="623"/>
      <c r="W20" s="623"/>
      <c r="X20" s="623"/>
      <c r="Y20" s="623"/>
      <c r="Z20" s="623"/>
      <c r="AA20" s="736"/>
      <c r="AB20" s="464"/>
      <c r="AC20" s="623" t="s">
        <v>237</v>
      </c>
      <c r="AD20" s="736"/>
      <c r="AE20" s="736"/>
      <c r="AF20" s="736"/>
      <c r="AG20" s="736"/>
      <c r="AH20" s="736"/>
      <c r="AI20" s="464"/>
    </row>
    <row r="21" spans="1:35" ht="18" customHeight="1">
      <c r="A21" s="611">
        <v>2</v>
      </c>
      <c r="B21" s="611"/>
      <c r="C21" s="611" t="s">
        <v>235</v>
      </c>
      <c r="D21" s="611"/>
      <c r="E21" s="611"/>
      <c r="F21" s="611"/>
      <c r="G21" s="611"/>
      <c r="H21" s="894" t="s">
        <v>238</v>
      </c>
      <c r="I21" s="895"/>
      <c r="J21" s="895"/>
      <c r="K21" s="895"/>
      <c r="L21" s="895"/>
      <c r="M21" s="895"/>
      <c r="N21" s="896"/>
      <c r="O21" s="622" t="s">
        <v>237</v>
      </c>
      <c r="P21" s="623"/>
      <c r="Q21" s="623"/>
      <c r="R21" s="623"/>
      <c r="S21" s="623"/>
      <c r="T21" s="623"/>
      <c r="U21" s="622" t="s">
        <v>237</v>
      </c>
      <c r="V21" s="623"/>
      <c r="W21" s="623"/>
      <c r="X21" s="623"/>
      <c r="Y21" s="623"/>
      <c r="Z21" s="623"/>
      <c r="AA21" s="736"/>
      <c r="AB21" s="464"/>
      <c r="AC21" s="623" t="s">
        <v>237</v>
      </c>
      <c r="AD21" s="736"/>
      <c r="AE21" s="736"/>
      <c r="AF21" s="736"/>
      <c r="AG21" s="736"/>
      <c r="AH21" s="736"/>
      <c r="AI21" s="464"/>
    </row>
    <row r="22" spans="1:35" ht="18" customHeight="1">
      <c r="A22" s="611">
        <v>3</v>
      </c>
      <c r="B22" s="611"/>
      <c r="C22" s="611" t="s">
        <v>235</v>
      </c>
      <c r="D22" s="611"/>
      <c r="E22" s="611"/>
      <c r="F22" s="611"/>
      <c r="G22" s="611"/>
      <c r="H22" s="894" t="s">
        <v>239</v>
      </c>
      <c r="I22" s="895"/>
      <c r="J22" s="895"/>
      <c r="K22" s="895"/>
      <c r="L22" s="895"/>
      <c r="M22" s="895"/>
      <c r="N22" s="896"/>
      <c r="O22" s="622" t="s">
        <v>237</v>
      </c>
      <c r="P22" s="623"/>
      <c r="Q22" s="623"/>
      <c r="R22" s="623"/>
      <c r="S22" s="623"/>
      <c r="T22" s="623"/>
      <c r="U22" s="622" t="s">
        <v>237</v>
      </c>
      <c r="V22" s="623"/>
      <c r="W22" s="623"/>
      <c r="X22" s="623"/>
      <c r="Y22" s="623"/>
      <c r="Z22" s="623"/>
      <c r="AA22" s="736"/>
      <c r="AB22" s="464"/>
      <c r="AC22" s="623" t="s">
        <v>237</v>
      </c>
      <c r="AD22" s="736"/>
      <c r="AE22" s="736"/>
      <c r="AF22" s="736"/>
      <c r="AG22" s="736"/>
      <c r="AH22" s="736"/>
      <c r="AI22" s="464"/>
    </row>
    <row r="23" spans="1:35" ht="18" customHeight="1">
      <c r="A23" s="611">
        <v>4</v>
      </c>
      <c r="B23" s="611"/>
      <c r="C23" s="611" t="s">
        <v>235</v>
      </c>
      <c r="D23" s="611"/>
      <c r="E23" s="611"/>
      <c r="F23" s="611"/>
      <c r="G23" s="611"/>
      <c r="H23" s="894" t="s">
        <v>240</v>
      </c>
      <c r="I23" s="895"/>
      <c r="J23" s="895"/>
      <c r="K23" s="895"/>
      <c r="L23" s="895"/>
      <c r="M23" s="895"/>
      <c r="N23" s="896"/>
      <c r="O23" s="622" t="s">
        <v>237</v>
      </c>
      <c r="P23" s="623"/>
      <c r="Q23" s="623"/>
      <c r="R23" s="623"/>
      <c r="S23" s="623"/>
      <c r="T23" s="623"/>
      <c r="U23" s="622" t="s">
        <v>237</v>
      </c>
      <c r="V23" s="623"/>
      <c r="W23" s="623"/>
      <c r="X23" s="623"/>
      <c r="Y23" s="623"/>
      <c r="Z23" s="623"/>
      <c r="AA23" s="736"/>
      <c r="AB23" s="464"/>
      <c r="AC23" s="623" t="s">
        <v>237</v>
      </c>
      <c r="AD23" s="736"/>
      <c r="AE23" s="736"/>
      <c r="AF23" s="736"/>
      <c r="AG23" s="736"/>
      <c r="AH23" s="736"/>
      <c r="AI23" s="464"/>
    </row>
    <row r="24" spans="1:35" ht="18" customHeight="1">
      <c r="A24" s="611">
        <v>5</v>
      </c>
      <c r="B24" s="611"/>
      <c r="C24" s="611" t="s">
        <v>235</v>
      </c>
      <c r="D24" s="611"/>
      <c r="E24" s="611"/>
      <c r="F24" s="611"/>
      <c r="G24" s="611"/>
      <c r="H24" s="894" t="s">
        <v>241</v>
      </c>
      <c r="I24" s="895"/>
      <c r="J24" s="895"/>
      <c r="K24" s="895"/>
      <c r="L24" s="895"/>
      <c r="M24" s="895"/>
      <c r="N24" s="896"/>
      <c r="O24" s="622" t="s">
        <v>237</v>
      </c>
      <c r="P24" s="623"/>
      <c r="Q24" s="623"/>
      <c r="R24" s="623"/>
      <c r="S24" s="623"/>
      <c r="T24" s="623"/>
      <c r="U24" s="622" t="s">
        <v>237</v>
      </c>
      <c r="V24" s="623"/>
      <c r="W24" s="623"/>
      <c r="X24" s="623"/>
      <c r="Y24" s="623"/>
      <c r="Z24" s="623"/>
      <c r="AA24" s="736"/>
      <c r="AB24" s="464"/>
      <c r="AC24" s="623" t="s">
        <v>237</v>
      </c>
      <c r="AD24" s="736"/>
      <c r="AE24" s="736"/>
      <c r="AF24" s="736"/>
      <c r="AG24" s="736"/>
      <c r="AH24" s="736"/>
      <c r="AI24" s="464"/>
    </row>
    <row r="25" spans="1:35" ht="18" customHeight="1">
      <c r="A25" s="611">
        <v>6</v>
      </c>
      <c r="B25" s="611"/>
      <c r="C25" s="611" t="s">
        <v>242</v>
      </c>
      <c r="D25" s="611"/>
      <c r="E25" s="611"/>
      <c r="F25" s="611"/>
      <c r="G25" s="611"/>
      <c r="H25" s="894" t="s">
        <v>243</v>
      </c>
      <c r="I25" s="895"/>
      <c r="J25" s="895"/>
      <c r="K25" s="895"/>
      <c r="L25" s="895"/>
      <c r="M25" s="895"/>
      <c r="N25" s="896"/>
      <c r="O25" s="622" t="s">
        <v>237</v>
      </c>
      <c r="P25" s="623"/>
      <c r="Q25" s="623"/>
      <c r="R25" s="623"/>
      <c r="S25" s="623"/>
      <c r="T25" s="623"/>
      <c r="U25" s="622" t="s">
        <v>237</v>
      </c>
      <c r="V25" s="623"/>
      <c r="W25" s="623"/>
      <c r="X25" s="623"/>
      <c r="Y25" s="623"/>
      <c r="Z25" s="623"/>
      <c r="AA25" s="736"/>
      <c r="AB25" s="464"/>
      <c r="AC25" s="623" t="s">
        <v>237</v>
      </c>
      <c r="AD25" s="736"/>
      <c r="AE25" s="736"/>
      <c r="AF25" s="736"/>
      <c r="AG25" s="736"/>
      <c r="AH25" s="736"/>
      <c r="AI25" s="464"/>
    </row>
    <row r="26" spans="1:35" ht="18" customHeight="1">
      <c r="A26" s="611">
        <v>7</v>
      </c>
      <c r="B26" s="611"/>
      <c r="C26" s="611" t="s">
        <v>242</v>
      </c>
      <c r="D26" s="611"/>
      <c r="E26" s="611"/>
      <c r="F26" s="611"/>
      <c r="G26" s="611"/>
      <c r="H26" s="894" t="s">
        <v>244</v>
      </c>
      <c r="I26" s="895"/>
      <c r="J26" s="895"/>
      <c r="K26" s="895"/>
      <c r="L26" s="895"/>
      <c r="M26" s="895"/>
      <c r="N26" s="896"/>
      <c r="O26" s="622" t="s">
        <v>237</v>
      </c>
      <c r="P26" s="623"/>
      <c r="Q26" s="623"/>
      <c r="R26" s="623"/>
      <c r="S26" s="623"/>
      <c r="T26" s="623"/>
      <c r="U26" s="622" t="s">
        <v>237</v>
      </c>
      <c r="V26" s="623"/>
      <c r="W26" s="623"/>
      <c r="X26" s="623"/>
      <c r="Y26" s="623"/>
      <c r="Z26" s="623"/>
      <c r="AA26" s="736"/>
      <c r="AB26" s="464"/>
      <c r="AC26" s="623" t="s">
        <v>237</v>
      </c>
      <c r="AD26" s="736"/>
      <c r="AE26" s="736"/>
      <c r="AF26" s="736"/>
      <c r="AG26" s="736"/>
      <c r="AH26" s="736"/>
      <c r="AI26" s="464"/>
    </row>
    <row r="27" spans="1:35" ht="18" customHeight="1">
      <c r="A27" s="611">
        <v>8</v>
      </c>
      <c r="B27" s="611"/>
      <c r="C27" s="611" t="s">
        <v>242</v>
      </c>
      <c r="D27" s="611"/>
      <c r="E27" s="611"/>
      <c r="F27" s="611"/>
      <c r="G27" s="611"/>
      <c r="H27" s="894" t="s">
        <v>245</v>
      </c>
      <c r="I27" s="895"/>
      <c r="J27" s="895"/>
      <c r="K27" s="895"/>
      <c r="L27" s="895"/>
      <c r="M27" s="895"/>
      <c r="N27" s="896"/>
      <c r="O27" s="622" t="s">
        <v>237</v>
      </c>
      <c r="P27" s="623"/>
      <c r="Q27" s="623"/>
      <c r="R27" s="623"/>
      <c r="S27" s="623"/>
      <c r="T27" s="623"/>
      <c r="U27" s="622" t="s">
        <v>237</v>
      </c>
      <c r="V27" s="623"/>
      <c r="W27" s="623"/>
      <c r="X27" s="623"/>
      <c r="Y27" s="623"/>
      <c r="Z27" s="623"/>
      <c r="AA27" s="736"/>
      <c r="AB27" s="464"/>
      <c r="AC27" s="623" t="s">
        <v>237</v>
      </c>
      <c r="AD27" s="736"/>
      <c r="AE27" s="736"/>
      <c r="AF27" s="736"/>
      <c r="AG27" s="736"/>
      <c r="AH27" s="736"/>
      <c r="AI27" s="464"/>
    </row>
    <row r="28" spans="1:35" ht="18" customHeight="1">
      <c r="A28" s="611">
        <v>9</v>
      </c>
      <c r="B28" s="611"/>
      <c r="C28" s="611" t="s">
        <v>246</v>
      </c>
      <c r="D28" s="611"/>
      <c r="E28" s="611"/>
      <c r="F28" s="611"/>
      <c r="G28" s="611"/>
      <c r="H28" s="894" t="s">
        <v>247</v>
      </c>
      <c r="I28" s="895"/>
      <c r="J28" s="895"/>
      <c r="K28" s="895"/>
      <c r="L28" s="895"/>
      <c r="M28" s="895"/>
      <c r="N28" s="896"/>
      <c r="O28" s="622" t="s">
        <v>237</v>
      </c>
      <c r="P28" s="623"/>
      <c r="Q28" s="623"/>
      <c r="R28" s="623"/>
      <c r="S28" s="623"/>
      <c r="T28" s="623"/>
      <c r="U28" s="622" t="s">
        <v>237</v>
      </c>
      <c r="V28" s="623"/>
      <c r="W28" s="623"/>
      <c r="X28" s="623"/>
      <c r="Y28" s="623"/>
      <c r="Z28" s="623"/>
      <c r="AA28" s="736"/>
      <c r="AB28" s="464"/>
      <c r="AC28" s="623" t="s">
        <v>237</v>
      </c>
      <c r="AD28" s="736"/>
      <c r="AE28" s="736"/>
      <c r="AF28" s="736"/>
      <c r="AG28" s="736"/>
      <c r="AH28" s="736"/>
      <c r="AI28" s="464"/>
    </row>
    <row r="29" spans="1:35" ht="18" customHeight="1">
      <c r="A29" s="611">
        <v>10</v>
      </c>
      <c r="B29" s="611"/>
      <c r="C29" s="611" t="s">
        <v>246</v>
      </c>
      <c r="D29" s="611"/>
      <c r="E29" s="611"/>
      <c r="F29" s="611"/>
      <c r="G29" s="611"/>
      <c r="H29" s="894" t="s">
        <v>248</v>
      </c>
      <c r="I29" s="895"/>
      <c r="J29" s="895"/>
      <c r="K29" s="895"/>
      <c r="L29" s="895"/>
      <c r="M29" s="895"/>
      <c r="N29" s="896"/>
      <c r="O29" s="622" t="s">
        <v>237</v>
      </c>
      <c r="P29" s="623"/>
      <c r="Q29" s="623"/>
      <c r="R29" s="623"/>
      <c r="S29" s="623"/>
      <c r="T29" s="623"/>
      <c r="U29" s="622" t="s">
        <v>237</v>
      </c>
      <c r="V29" s="623"/>
      <c r="W29" s="623"/>
      <c r="X29" s="623"/>
      <c r="Y29" s="623"/>
      <c r="Z29" s="623"/>
      <c r="AA29" s="736"/>
      <c r="AB29" s="464"/>
      <c r="AC29" s="623" t="s">
        <v>237</v>
      </c>
      <c r="AD29" s="736"/>
      <c r="AE29" s="736"/>
      <c r="AF29" s="736"/>
      <c r="AG29" s="736"/>
      <c r="AH29" s="736"/>
      <c r="AI29" s="464"/>
    </row>
    <row r="30" spans="1:35" s="16" customFormat="1" ht="18" customHeight="1">
      <c r="A30" s="771" t="s">
        <v>249</v>
      </c>
      <c r="B30" s="772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8"/>
    </row>
    <row r="31" spans="1:35" ht="18" customHeight="1">
      <c r="A31" s="611">
        <v>11</v>
      </c>
      <c r="B31" s="611"/>
      <c r="C31" s="611" t="s">
        <v>235</v>
      </c>
      <c r="D31" s="611"/>
      <c r="E31" s="611"/>
      <c r="F31" s="611"/>
      <c r="G31" s="611"/>
      <c r="H31" s="894" t="s">
        <v>250</v>
      </c>
      <c r="I31" s="895"/>
      <c r="J31" s="895"/>
      <c r="K31" s="895"/>
      <c r="L31" s="895"/>
      <c r="M31" s="895"/>
      <c r="N31" s="896"/>
      <c r="O31" s="622" t="s">
        <v>237</v>
      </c>
      <c r="P31" s="623"/>
      <c r="Q31" s="623"/>
      <c r="R31" s="623"/>
      <c r="S31" s="623"/>
      <c r="T31" s="624"/>
      <c r="U31" s="622" t="s">
        <v>237</v>
      </c>
      <c r="V31" s="623"/>
      <c r="W31" s="623"/>
      <c r="X31" s="623"/>
      <c r="Y31" s="623"/>
      <c r="Z31" s="623"/>
      <c r="AA31" s="736"/>
      <c r="AB31" s="464"/>
      <c r="AC31" s="623" t="s">
        <v>237</v>
      </c>
      <c r="AD31" s="736"/>
      <c r="AE31" s="736"/>
      <c r="AF31" s="736"/>
      <c r="AG31" s="736"/>
      <c r="AH31" s="736"/>
      <c r="AI31" s="464"/>
    </row>
    <row r="32" spans="1:35" ht="18" customHeight="1">
      <c r="A32" s="611">
        <v>12</v>
      </c>
      <c r="B32" s="611"/>
      <c r="C32" s="611" t="s">
        <v>235</v>
      </c>
      <c r="D32" s="611"/>
      <c r="E32" s="611"/>
      <c r="F32" s="611"/>
      <c r="G32" s="611"/>
      <c r="H32" s="894" t="s">
        <v>251</v>
      </c>
      <c r="I32" s="895"/>
      <c r="J32" s="895"/>
      <c r="K32" s="895"/>
      <c r="L32" s="895"/>
      <c r="M32" s="895"/>
      <c r="N32" s="896"/>
      <c r="O32" s="622" t="s">
        <v>237</v>
      </c>
      <c r="P32" s="623"/>
      <c r="Q32" s="623"/>
      <c r="R32" s="623"/>
      <c r="S32" s="623"/>
      <c r="T32" s="623"/>
      <c r="U32" s="622" t="s">
        <v>237</v>
      </c>
      <c r="V32" s="623"/>
      <c r="W32" s="623"/>
      <c r="X32" s="623"/>
      <c r="Y32" s="623"/>
      <c r="Z32" s="623"/>
      <c r="AA32" s="736"/>
      <c r="AB32" s="464"/>
      <c r="AC32" s="623" t="s">
        <v>237</v>
      </c>
      <c r="AD32" s="736"/>
      <c r="AE32" s="736"/>
      <c r="AF32" s="736"/>
      <c r="AG32" s="736"/>
      <c r="AH32" s="736"/>
      <c r="AI32" s="464"/>
    </row>
    <row r="33" spans="1:35" ht="18" customHeight="1">
      <c r="A33" s="611">
        <v>13</v>
      </c>
      <c r="B33" s="611"/>
      <c r="C33" s="611" t="s">
        <v>235</v>
      </c>
      <c r="D33" s="611"/>
      <c r="E33" s="611"/>
      <c r="F33" s="611"/>
      <c r="G33" s="611"/>
      <c r="H33" s="894" t="s">
        <v>252</v>
      </c>
      <c r="I33" s="895"/>
      <c r="J33" s="895"/>
      <c r="K33" s="895"/>
      <c r="L33" s="895"/>
      <c r="M33" s="895"/>
      <c r="N33" s="896"/>
      <c r="O33" s="622" t="s">
        <v>237</v>
      </c>
      <c r="P33" s="623"/>
      <c r="Q33" s="623"/>
      <c r="R33" s="623"/>
      <c r="S33" s="623"/>
      <c r="T33" s="623"/>
      <c r="U33" s="622" t="s">
        <v>237</v>
      </c>
      <c r="V33" s="623"/>
      <c r="W33" s="623"/>
      <c r="X33" s="623"/>
      <c r="Y33" s="623"/>
      <c r="Z33" s="623"/>
      <c r="AA33" s="736"/>
      <c r="AB33" s="464"/>
      <c r="AC33" s="623" t="s">
        <v>237</v>
      </c>
      <c r="AD33" s="736"/>
      <c r="AE33" s="736"/>
      <c r="AF33" s="736"/>
      <c r="AG33" s="736"/>
      <c r="AH33" s="736"/>
      <c r="AI33" s="464"/>
    </row>
    <row r="34" spans="1:35" ht="18" customHeight="1">
      <c r="A34" s="611">
        <v>14</v>
      </c>
      <c r="B34" s="611"/>
      <c r="C34" s="611" t="s">
        <v>235</v>
      </c>
      <c r="D34" s="611"/>
      <c r="E34" s="611"/>
      <c r="F34" s="611"/>
      <c r="G34" s="611"/>
      <c r="H34" s="894" t="s">
        <v>253</v>
      </c>
      <c r="I34" s="895"/>
      <c r="J34" s="895"/>
      <c r="K34" s="895"/>
      <c r="L34" s="895"/>
      <c r="M34" s="895"/>
      <c r="N34" s="896"/>
      <c r="O34" s="622" t="s">
        <v>237</v>
      </c>
      <c r="P34" s="623"/>
      <c r="Q34" s="623"/>
      <c r="R34" s="623"/>
      <c r="S34" s="623"/>
      <c r="T34" s="623"/>
      <c r="U34" s="622" t="s">
        <v>237</v>
      </c>
      <c r="V34" s="623"/>
      <c r="W34" s="623"/>
      <c r="X34" s="623"/>
      <c r="Y34" s="623"/>
      <c r="Z34" s="623"/>
      <c r="AA34" s="736"/>
      <c r="AB34" s="464"/>
      <c r="AC34" s="623" t="s">
        <v>237</v>
      </c>
      <c r="AD34" s="736"/>
      <c r="AE34" s="736"/>
      <c r="AF34" s="736"/>
      <c r="AG34" s="736"/>
      <c r="AH34" s="736"/>
      <c r="AI34" s="464"/>
    </row>
    <row r="35" spans="1:35" ht="18" customHeight="1">
      <c r="A35" s="611">
        <v>15</v>
      </c>
      <c r="B35" s="611"/>
      <c r="C35" s="611" t="s">
        <v>235</v>
      </c>
      <c r="D35" s="611"/>
      <c r="E35" s="611"/>
      <c r="F35" s="611"/>
      <c r="G35" s="611"/>
      <c r="H35" s="894" t="s">
        <v>254</v>
      </c>
      <c r="I35" s="895"/>
      <c r="J35" s="895"/>
      <c r="K35" s="895"/>
      <c r="L35" s="895"/>
      <c r="M35" s="895"/>
      <c r="N35" s="896"/>
      <c r="O35" s="622" t="s">
        <v>237</v>
      </c>
      <c r="P35" s="623"/>
      <c r="Q35" s="623"/>
      <c r="R35" s="623"/>
      <c r="S35" s="623"/>
      <c r="T35" s="623"/>
      <c r="U35" s="622" t="s">
        <v>237</v>
      </c>
      <c r="V35" s="623"/>
      <c r="W35" s="623"/>
      <c r="X35" s="623"/>
      <c r="Y35" s="623"/>
      <c r="Z35" s="623"/>
      <c r="AA35" s="736"/>
      <c r="AB35" s="464"/>
      <c r="AC35" s="623" t="s">
        <v>237</v>
      </c>
      <c r="AD35" s="736"/>
      <c r="AE35" s="736"/>
      <c r="AF35" s="736"/>
      <c r="AG35" s="736"/>
      <c r="AH35" s="736"/>
      <c r="AI35" s="464"/>
    </row>
    <row r="36" spans="1:35" ht="18" customHeight="1">
      <c r="A36" s="611">
        <v>16</v>
      </c>
      <c r="B36" s="611"/>
      <c r="C36" s="611" t="s">
        <v>242</v>
      </c>
      <c r="D36" s="611"/>
      <c r="E36" s="611"/>
      <c r="F36" s="611"/>
      <c r="G36" s="611"/>
      <c r="H36" s="894" t="s">
        <v>255</v>
      </c>
      <c r="I36" s="895"/>
      <c r="J36" s="895"/>
      <c r="K36" s="895"/>
      <c r="L36" s="895"/>
      <c r="M36" s="895"/>
      <c r="N36" s="896"/>
      <c r="O36" s="622" t="s">
        <v>237</v>
      </c>
      <c r="P36" s="623"/>
      <c r="Q36" s="623"/>
      <c r="R36" s="623"/>
      <c r="S36" s="623"/>
      <c r="T36" s="623"/>
      <c r="U36" s="622" t="s">
        <v>237</v>
      </c>
      <c r="V36" s="623"/>
      <c r="W36" s="623"/>
      <c r="X36" s="623"/>
      <c r="Y36" s="623"/>
      <c r="Z36" s="623"/>
      <c r="AA36" s="736"/>
      <c r="AB36" s="464"/>
      <c r="AC36" s="623" t="s">
        <v>237</v>
      </c>
      <c r="AD36" s="736"/>
      <c r="AE36" s="736"/>
      <c r="AF36" s="736"/>
      <c r="AG36" s="736"/>
      <c r="AH36" s="736"/>
      <c r="AI36" s="464"/>
    </row>
    <row r="37" spans="1:35" ht="18" customHeight="1">
      <c r="A37" s="611">
        <v>17</v>
      </c>
      <c r="B37" s="611"/>
      <c r="C37" s="611" t="s">
        <v>242</v>
      </c>
      <c r="D37" s="611"/>
      <c r="E37" s="611"/>
      <c r="F37" s="611"/>
      <c r="G37" s="611"/>
      <c r="H37" s="894" t="s">
        <v>256</v>
      </c>
      <c r="I37" s="895"/>
      <c r="J37" s="895"/>
      <c r="K37" s="895"/>
      <c r="L37" s="895"/>
      <c r="M37" s="895"/>
      <c r="N37" s="896"/>
      <c r="O37" s="622" t="s">
        <v>237</v>
      </c>
      <c r="P37" s="623"/>
      <c r="Q37" s="623"/>
      <c r="R37" s="623"/>
      <c r="S37" s="623"/>
      <c r="T37" s="623"/>
      <c r="U37" s="622" t="s">
        <v>237</v>
      </c>
      <c r="V37" s="623"/>
      <c r="W37" s="623"/>
      <c r="X37" s="623"/>
      <c r="Y37" s="623"/>
      <c r="Z37" s="623"/>
      <c r="AA37" s="736"/>
      <c r="AB37" s="464"/>
      <c r="AC37" s="623" t="s">
        <v>237</v>
      </c>
      <c r="AD37" s="736"/>
      <c r="AE37" s="736"/>
      <c r="AF37" s="736"/>
      <c r="AG37" s="736"/>
      <c r="AH37" s="736"/>
      <c r="AI37" s="464"/>
    </row>
    <row r="38" spans="1:35" ht="18" customHeight="1">
      <c r="A38" s="611">
        <v>18</v>
      </c>
      <c r="B38" s="611"/>
      <c r="C38" s="611" t="s">
        <v>242</v>
      </c>
      <c r="D38" s="611"/>
      <c r="E38" s="611"/>
      <c r="F38" s="611"/>
      <c r="G38" s="611"/>
      <c r="H38" s="894" t="s">
        <v>257</v>
      </c>
      <c r="I38" s="895"/>
      <c r="J38" s="895"/>
      <c r="K38" s="895"/>
      <c r="L38" s="895"/>
      <c r="M38" s="895"/>
      <c r="N38" s="896"/>
      <c r="O38" s="622" t="s">
        <v>237</v>
      </c>
      <c r="P38" s="623"/>
      <c r="Q38" s="623"/>
      <c r="R38" s="623"/>
      <c r="S38" s="623"/>
      <c r="T38" s="623"/>
      <c r="U38" s="622" t="s">
        <v>237</v>
      </c>
      <c r="V38" s="623"/>
      <c r="W38" s="623"/>
      <c r="X38" s="623"/>
      <c r="Y38" s="623"/>
      <c r="Z38" s="623"/>
      <c r="AA38" s="736"/>
      <c r="AB38" s="464"/>
      <c r="AC38" s="623" t="s">
        <v>237</v>
      </c>
      <c r="AD38" s="736"/>
      <c r="AE38" s="736"/>
      <c r="AF38" s="736"/>
      <c r="AG38" s="736"/>
      <c r="AH38" s="736"/>
      <c r="AI38" s="464"/>
    </row>
    <row r="39" spans="1:35" ht="18" customHeight="1">
      <c r="A39" s="611">
        <v>19</v>
      </c>
      <c r="B39" s="611"/>
      <c r="C39" s="611" t="s">
        <v>246</v>
      </c>
      <c r="D39" s="611"/>
      <c r="E39" s="611"/>
      <c r="F39" s="611"/>
      <c r="G39" s="611"/>
      <c r="H39" s="894" t="s">
        <v>258</v>
      </c>
      <c r="I39" s="895"/>
      <c r="J39" s="895"/>
      <c r="K39" s="895"/>
      <c r="L39" s="895"/>
      <c r="M39" s="895"/>
      <c r="N39" s="896"/>
      <c r="O39" s="622" t="s">
        <v>237</v>
      </c>
      <c r="P39" s="623"/>
      <c r="Q39" s="623"/>
      <c r="R39" s="623"/>
      <c r="S39" s="623"/>
      <c r="T39" s="623"/>
      <c r="U39" s="622" t="s">
        <v>237</v>
      </c>
      <c r="V39" s="623"/>
      <c r="W39" s="623"/>
      <c r="X39" s="623"/>
      <c r="Y39" s="623"/>
      <c r="Z39" s="623"/>
      <c r="AA39" s="736"/>
      <c r="AB39" s="464"/>
      <c r="AC39" s="623" t="s">
        <v>237</v>
      </c>
      <c r="AD39" s="736"/>
      <c r="AE39" s="736"/>
      <c r="AF39" s="736"/>
      <c r="AG39" s="736"/>
      <c r="AH39" s="736"/>
      <c r="AI39" s="464"/>
    </row>
    <row r="40" spans="1:35" ht="18" customHeight="1">
      <c r="A40" s="611">
        <v>20</v>
      </c>
      <c r="B40" s="611"/>
      <c r="C40" s="611" t="s">
        <v>246</v>
      </c>
      <c r="D40" s="611"/>
      <c r="E40" s="611"/>
      <c r="F40" s="611"/>
      <c r="G40" s="611"/>
      <c r="H40" s="894" t="s">
        <v>259</v>
      </c>
      <c r="I40" s="895"/>
      <c r="J40" s="895"/>
      <c r="K40" s="895"/>
      <c r="L40" s="895"/>
      <c r="M40" s="895"/>
      <c r="N40" s="896"/>
      <c r="O40" s="622" t="s">
        <v>237</v>
      </c>
      <c r="P40" s="623"/>
      <c r="Q40" s="623"/>
      <c r="R40" s="623"/>
      <c r="S40" s="623"/>
      <c r="T40" s="623"/>
      <c r="U40" s="622" t="s">
        <v>237</v>
      </c>
      <c r="V40" s="623"/>
      <c r="W40" s="623"/>
      <c r="X40" s="623"/>
      <c r="Y40" s="623"/>
      <c r="Z40" s="623"/>
      <c r="AA40" s="736"/>
      <c r="AB40" s="464"/>
      <c r="AC40" s="623" t="s">
        <v>237</v>
      </c>
      <c r="AD40" s="736"/>
      <c r="AE40" s="736"/>
      <c r="AF40" s="736"/>
      <c r="AG40" s="736"/>
      <c r="AH40" s="736"/>
      <c r="AI40" s="464"/>
    </row>
    <row r="41" spans="1:35" s="16" customFormat="1" ht="18" customHeight="1">
      <c r="A41" s="771" t="s">
        <v>260</v>
      </c>
      <c r="B41" s="772"/>
      <c r="C41" s="897"/>
      <c r="D41" s="897"/>
      <c r="E41" s="897"/>
      <c r="F41" s="897"/>
      <c r="G41" s="897"/>
      <c r="H41" s="897"/>
      <c r="I41" s="897"/>
      <c r="J41" s="897"/>
      <c r="K41" s="897"/>
      <c r="L41" s="897"/>
      <c r="M41" s="897"/>
      <c r="N41" s="897"/>
      <c r="O41" s="897"/>
      <c r="P41" s="897"/>
      <c r="Q41" s="897"/>
      <c r="R41" s="897"/>
      <c r="S41" s="897"/>
      <c r="T41" s="897"/>
      <c r="U41" s="897"/>
      <c r="V41" s="897"/>
      <c r="W41" s="897"/>
      <c r="X41" s="897"/>
      <c r="Y41" s="897"/>
      <c r="Z41" s="897"/>
      <c r="AA41" s="897"/>
      <c r="AB41" s="897"/>
      <c r="AC41" s="897"/>
      <c r="AD41" s="897"/>
      <c r="AE41" s="897"/>
      <c r="AF41" s="897"/>
      <c r="AG41" s="897"/>
      <c r="AH41" s="897"/>
      <c r="AI41" s="898"/>
    </row>
    <row r="42" spans="1:35" s="16" customFormat="1" ht="18" customHeight="1">
      <c r="A42" s="771" t="s">
        <v>234</v>
      </c>
      <c r="B42" s="772"/>
      <c r="C42" s="897"/>
      <c r="D42" s="897"/>
      <c r="E42" s="897"/>
      <c r="F42" s="897"/>
      <c r="G42" s="897"/>
      <c r="H42" s="897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97"/>
      <c r="U42" s="897"/>
      <c r="V42" s="897"/>
      <c r="W42" s="897"/>
      <c r="X42" s="897"/>
      <c r="Y42" s="897"/>
      <c r="Z42" s="897"/>
      <c r="AA42" s="897"/>
      <c r="AB42" s="897"/>
      <c r="AC42" s="897"/>
      <c r="AD42" s="897"/>
      <c r="AE42" s="897"/>
      <c r="AF42" s="897"/>
      <c r="AG42" s="897"/>
      <c r="AH42" s="897"/>
      <c r="AI42" s="898"/>
    </row>
    <row r="43" spans="1:35" ht="18" customHeight="1">
      <c r="A43" s="611">
        <v>21</v>
      </c>
      <c r="B43" s="611"/>
      <c r="C43" s="611" t="s">
        <v>242</v>
      </c>
      <c r="D43" s="611"/>
      <c r="E43" s="611"/>
      <c r="F43" s="611"/>
      <c r="G43" s="611"/>
      <c r="H43" s="894" t="s">
        <v>261</v>
      </c>
      <c r="I43" s="895"/>
      <c r="J43" s="895"/>
      <c r="K43" s="895"/>
      <c r="L43" s="895"/>
      <c r="M43" s="895"/>
      <c r="N43" s="896"/>
      <c r="O43" s="622" t="s">
        <v>237</v>
      </c>
      <c r="P43" s="623"/>
      <c r="Q43" s="623"/>
      <c r="R43" s="623"/>
      <c r="S43" s="623"/>
      <c r="T43" s="624"/>
      <c r="U43" s="622" t="s">
        <v>237</v>
      </c>
      <c r="V43" s="623"/>
      <c r="W43" s="623"/>
      <c r="X43" s="623"/>
      <c r="Y43" s="623"/>
      <c r="Z43" s="623"/>
      <c r="AA43" s="736"/>
      <c r="AB43" s="464"/>
      <c r="AC43" s="623" t="s">
        <v>237</v>
      </c>
      <c r="AD43" s="736"/>
      <c r="AE43" s="736"/>
      <c r="AF43" s="736"/>
      <c r="AG43" s="736"/>
      <c r="AH43" s="736"/>
      <c r="AI43" s="464"/>
    </row>
    <row r="44" spans="1:35" ht="18" customHeight="1">
      <c r="A44" s="611">
        <v>22</v>
      </c>
      <c r="B44" s="611"/>
      <c r="C44" s="611" t="s">
        <v>242</v>
      </c>
      <c r="D44" s="611"/>
      <c r="E44" s="611"/>
      <c r="F44" s="611"/>
      <c r="G44" s="611"/>
      <c r="H44" s="894" t="s">
        <v>262</v>
      </c>
      <c r="I44" s="895"/>
      <c r="J44" s="895"/>
      <c r="K44" s="895"/>
      <c r="L44" s="895"/>
      <c r="M44" s="895"/>
      <c r="N44" s="896"/>
      <c r="O44" s="622" t="s">
        <v>237</v>
      </c>
      <c r="P44" s="623"/>
      <c r="Q44" s="623"/>
      <c r="R44" s="623"/>
      <c r="S44" s="623"/>
      <c r="T44" s="623"/>
      <c r="U44" s="622" t="s">
        <v>237</v>
      </c>
      <c r="V44" s="623"/>
      <c r="W44" s="623"/>
      <c r="X44" s="623"/>
      <c r="Y44" s="623"/>
      <c r="Z44" s="623"/>
      <c r="AA44" s="736"/>
      <c r="AB44" s="464"/>
      <c r="AC44" s="623" t="s">
        <v>237</v>
      </c>
      <c r="AD44" s="736"/>
      <c r="AE44" s="736"/>
      <c r="AF44" s="736"/>
      <c r="AG44" s="736"/>
      <c r="AH44" s="736"/>
      <c r="AI44" s="464"/>
    </row>
    <row r="45" spans="1:35" ht="18" customHeight="1">
      <c r="A45" s="611">
        <v>23</v>
      </c>
      <c r="B45" s="611"/>
      <c r="C45" s="611" t="s">
        <v>242</v>
      </c>
      <c r="D45" s="611"/>
      <c r="E45" s="611"/>
      <c r="F45" s="611"/>
      <c r="G45" s="611"/>
      <c r="H45" s="894" t="s">
        <v>263</v>
      </c>
      <c r="I45" s="895"/>
      <c r="J45" s="895"/>
      <c r="K45" s="895"/>
      <c r="L45" s="895"/>
      <c r="M45" s="895"/>
      <c r="N45" s="896"/>
      <c r="O45" s="622" t="s">
        <v>237</v>
      </c>
      <c r="P45" s="623"/>
      <c r="Q45" s="623"/>
      <c r="R45" s="623"/>
      <c r="S45" s="623"/>
      <c r="T45" s="623"/>
      <c r="U45" s="622" t="s">
        <v>237</v>
      </c>
      <c r="V45" s="623"/>
      <c r="W45" s="623"/>
      <c r="X45" s="623"/>
      <c r="Y45" s="623"/>
      <c r="Z45" s="623"/>
      <c r="AA45" s="736"/>
      <c r="AB45" s="464"/>
      <c r="AC45" s="623" t="s">
        <v>237</v>
      </c>
      <c r="AD45" s="736"/>
      <c r="AE45" s="736"/>
      <c r="AF45" s="736"/>
      <c r="AG45" s="736"/>
      <c r="AH45" s="736"/>
      <c r="AI45" s="464"/>
    </row>
    <row r="46" spans="1:35" ht="18" customHeight="1">
      <c r="A46" s="611">
        <v>24</v>
      </c>
      <c r="B46" s="611"/>
      <c r="C46" s="611" t="s">
        <v>264</v>
      </c>
      <c r="D46" s="611"/>
      <c r="E46" s="611"/>
      <c r="F46" s="611"/>
      <c r="G46" s="611"/>
      <c r="H46" s="894" t="s">
        <v>265</v>
      </c>
      <c r="I46" s="895"/>
      <c r="J46" s="895"/>
      <c r="K46" s="895"/>
      <c r="L46" s="895"/>
      <c r="M46" s="895"/>
      <c r="N46" s="896"/>
      <c r="O46" s="622" t="s">
        <v>237</v>
      </c>
      <c r="P46" s="623"/>
      <c r="Q46" s="623"/>
      <c r="R46" s="623"/>
      <c r="S46" s="623"/>
      <c r="T46" s="623"/>
      <c r="U46" s="622" t="s">
        <v>237</v>
      </c>
      <c r="V46" s="623"/>
      <c r="W46" s="623"/>
      <c r="X46" s="623"/>
      <c r="Y46" s="623"/>
      <c r="Z46" s="623"/>
      <c r="AA46" s="736"/>
      <c r="AB46" s="464"/>
      <c r="AC46" s="623" t="s">
        <v>237</v>
      </c>
      <c r="AD46" s="736"/>
      <c r="AE46" s="736"/>
      <c r="AF46" s="736"/>
      <c r="AG46" s="736"/>
      <c r="AH46" s="736"/>
      <c r="AI46" s="464"/>
    </row>
    <row r="47" spans="1:35" ht="18" customHeight="1">
      <c r="A47" s="611">
        <v>25</v>
      </c>
      <c r="B47" s="611"/>
      <c r="C47" s="611" t="s">
        <v>264</v>
      </c>
      <c r="D47" s="611"/>
      <c r="E47" s="611"/>
      <c r="F47" s="611"/>
      <c r="G47" s="611"/>
      <c r="H47" s="894" t="s">
        <v>266</v>
      </c>
      <c r="I47" s="895"/>
      <c r="J47" s="895"/>
      <c r="K47" s="895"/>
      <c r="L47" s="895"/>
      <c r="M47" s="895"/>
      <c r="N47" s="896"/>
      <c r="O47" s="622" t="s">
        <v>237</v>
      </c>
      <c r="P47" s="623"/>
      <c r="Q47" s="623"/>
      <c r="R47" s="623"/>
      <c r="S47" s="623"/>
      <c r="T47" s="623"/>
      <c r="U47" s="622" t="s">
        <v>237</v>
      </c>
      <c r="V47" s="623"/>
      <c r="W47" s="623"/>
      <c r="X47" s="623"/>
      <c r="Y47" s="623"/>
      <c r="Z47" s="623"/>
      <c r="AA47" s="736"/>
      <c r="AB47" s="464"/>
      <c r="AC47" s="623" t="s">
        <v>237</v>
      </c>
      <c r="AD47" s="736"/>
      <c r="AE47" s="736"/>
      <c r="AF47" s="736"/>
      <c r="AG47" s="736"/>
      <c r="AH47" s="736"/>
      <c r="AI47" s="464"/>
    </row>
    <row r="48" spans="1:35" s="16" customFormat="1" ht="18" customHeight="1">
      <c r="A48" s="771" t="s">
        <v>249</v>
      </c>
      <c r="B48" s="772"/>
      <c r="C48" s="897"/>
      <c r="D48" s="897"/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8"/>
    </row>
    <row r="49" spans="1:38" ht="18" customHeight="1">
      <c r="A49" s="611">
        <v>26</v>
      </c>
      <c r="B49" s="611"/>
      <c r="C49" s="611" t="s">
        <v>242</v>
      </c>
      <c r="D49" s="611"/>
      <c r="E49" s="611"/>
      <c r="F49" s="611"/>
      <c r="G49" s="611"/>
      <c r="H49" s="894" t="s">
        <v>267</v>
      </c>
      <c r="I49" s="895"/>
      <c r="J49" s="895"/>
      <c r="K49" s="895"/>
      <c r="L49" s="895"/>
      <c r="M49" s="895"/>
      <c r="N49" s="896"/>
      <c r="O49" s="622" t="s">
        <v>237</v>
      </c>
      <c r="P49" s="623"/>
      <c r="Q49" s="623"/>
      <c r="R49" s="623"/>
      <c r="S49" s="623"/>
      <c r="T49" s="624"/>
      <c r="U49" s="622" t="s">
        <v>237</v>
      </c>
      <c r="V49" s="623"/>
      <c r="W49" s="623"/>
      <c r="X49" s="623"/>
      <c r="Y49" s="623"/>
      <c r="Z49" s="623"/>
      <c r="AA49" s="736"/>
      <c r="AB49" s="464"/>
      <c r="AC49" s="623" t="s">
        <v>237</v>
      </c>
      <c r="AD49" s="736"/>
      <c r="AE49" s="736"/>
      <c r="AF49" s="736"/>
      <c r="AG49" s="736"/>
      <c r="AH49" s="736"/>
      <c r="AI49" s="464"/>
    </row>
    <row r="50" spans="1:38" ht="18" customHeight="1">
      <c r="A50" s="611">
        <v>27</v>
      </c>
      <c r="B50" s="611"/>
      <c r="C50" s="611" t="s">
        <v>242</v>
      </c>
      <c r="D50" s="611"/>
      <c r="E50" s="611"/>
      <c r="F50" s="611"/>
      <c r="G50" s="611"/>
      <c r="H50" s="894" t="s">
        <v>268</v>
      </c>
      <c r="I50" s="895"/>
      <c r="J50" s="895"/>
      <c r="K50" s="895"/>
      <c r="L50" s="895"/>
      <c r="M50" s="895"/>
      <c r="N50" s="896"/>
      <c r="O50" s="622" t="s">
        <v>237</v>
      </c>
      <c r="P50" s="623"/>
      <c r="Q50" s="623"/>
      <c r="R50" s="623"/>
      <c r="S50" s="623"/>
      <c r="T50" s="623"/>
      <c r="U50" s="622" t="s">
        <v>237</v>
      </c>
      <c r="V50" s="623"/>
      <c r="W50" s="623"/>
      <c r="X50" s="623"/>
      <c r="Y50" s="623"/>
      <c r="Z50" s="623"/>
      <c r="AA50" s="736"/>
      <c r="AB50" s="464"/>
      <c r="AC50" s="623" t="s">
        <v>237</v>
      </c>
      <c r="AD50" s="736"/>
      <c r="AE50" s="736"/>
      <c r="AF50" s="736"/>
      <c r="AG50" s="736"/>
      <c r="AH50" s="736"/>
      <c r="AI50" s="464"/>
    </row>
    <row r="51" spans="1:38" ht="18" customHeight="1">
      <c r="A51" s="611">
        <v>28</v>
      </c>
      <c r="B51" s="611"/>
      <c r="C51" s="611" t="s">
        <v>242</v>
      </c>
      <c r="D51" s="611"/>
      <c r="E51" s="611"/>
      <c r="F51" s="611"/>
      <c r="G51" s="611"/>
      <c r="H51" s="894" t="s">
        <v>269</v>
      </c>
      <c r="I51" s="895"/>
      <c r="J51" s="895"/>
      <c r="K51" s="895"/>
      <c r="L51" s="895"/>
      <c r="M51" s="895"/>
      <c r="N51" s="896"/>
      <c r="O51" s="622" t="s">
        <v>237</v>
      </c>
      <c r="P51" s="623"/>
      <c r="Q51" s="623"/>
      <c r="R51" s="623"/>
      <c r="S51" s="623"/>
      <c r="T51" s="623"/>
      <c r="U51" s="622" t="s">
        <v>237</v>
      </c>
      <c r="V51" s="623"/>
      <c r="W51" s="623"/>
      <c r="X51" s="623"/>
      <c r="Y51" s="623"/>
      <c r="Z51" s="623"/>
      <c r="AA51" s="736"/>
      <c r="AB51" s="464"/>
      <c r="AC51" s="623" t="s">
        <v>237</v>
      </c>
      <c r="AD51" s="736"/>
      <c r="AE51" s="736"/>
      <c r="AF51" s="736"/>
      <c r="AG51" s="736"/>
      <c r="AH51" s="736"/>
      <c r="AI51" s="464"/>
    </row>
    <row r="52" spans="1:38" ht="18" customHeight="1">
      <c r="A52" s="611">
        <v>29</v>
      </c>
      <c r="B52" s="611"/>
      <c r="C52" s="611" t="s">
        <v>264</v>
      </c>
      <c r="D52" s="611"/>
      <c r="E52" s="611"/>
      <c r="F52" s="611"/>
      <c r="G52" s="611"/>
      <c r="H52" s="894" t="s">
        <v>270</v>
      </c>
      <c r="I52" s="895"/>
      <c r="J52" s="895"/>
      <c r="K52" s="895"/>
      <c r="L52" s="895"/>
      <c r="M52" s="895"/>
      <c r="N52" s="896"/>
      <c r="O52" s="622" t="s">
        <v>237</v>
      </c>
      <c r="P52" s="623"/>
      <c r="Q52" s="623"/>
      <c r="R52" s="623"/>
      <c r="S52" s="623"/>
      <c r="T52" s="623"/>
      <c r="U52" s="622" t="s">
        <v>237</v>
      </c>
      <c r="V52" s="623"/>
      <c r="W52" s="623"/>
      <c r="X52" s="623"/>
      <c r="Y52" s="623"/>
      <c r="Z52" s="623"/>
      <c r="AA52" s="736"/>
      <c r="AB52" s="464"/>
      <c r="AC52" s="623" t="s">
        <v>237</v>
      </c>
      <c r="AD52" s="736"/>
      <c r="AE52" s="736"/>
      <c r="AF52" s="736"/>
      <c r="AG52" s="736"/>
      <c r="AH52" s="736"/>
      <c r="AI52" s="464"/>
    </row>
    <row r="53" spans="1:38" ht="18" customHeight="1">
      <c r="A53" s="611">
        <v>30</v>
      </c>
      <c r="B53" s="611"/>
      <c r="C53" s="611" t="s">
        <v>264</v>
      </c>
      <c r="D53" s="611"/>
      <c r="E53" s="611"/>
      <c r="F53" s="611"/>
      <c r="G53" s="611"/>
      <c r="H53" s="894" t="s">
        <v>271</v>
      </c>
      <c r="I53" s="895"/>
      <c r="J53" s="895"/>
      <c r="K53" s="895"/>
      <c r="L53" s="895"/>
      <c r="M53" s="895"/>
      <c r="N53" s="896"/>
      <c r="O53" s="622" t="s">
        <v>237</v>
      </c>
      <c r="P53" s="623"/>
      <c r="Q53" s="623"/>
      <c r="R53" s="623"/>
      <c r="S53" s="623"/>
      <c r="T53" s="623"/>
      <c r="U53" s="622" t="s">
        <v>237</v>
      </c>
      <c r="V53" s="623"/>
      <c r="W53" s="623"/>
      <c r="X53" s="623"/>
      <c r="Y53" s="623"/>
      <c r="Z53" s="623"/>
      <c r="AA53" s="736"/>
      <c r="AB53" s="464"/>
      <c r="AC53" s="623" t="s">
        <v>237</v>
      </c>
      <c r="AD53" s="736"/>
      <c r="AE53" s="736"/>
      <c r="AF53" s="736"/>
      <c r="AG53" s="736"/>
      <c r="AH53" s="736"/>
      <c r="AI53" s="464"/>
    </row>
    <row r="54" spans="1:38" ht="15.75" customHeight="1">
      <c r="A54" s="809" t="s">
        <v>90</v>
      </c>
      <c r="B54" s="809"/>
      <c r="C54" s="809"/>
      <c r="D54" s="809"/>
      <c r="E54" s="809"/>
      <c r="F54" s="809"/>
      <c r="G54" s="444"/>
      <c r="H54" s="810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L54" s="4"/>
    </row>
    <row r="55" spans="1:38" ht="15.75" customHeight="1">
      <c r="A55" s="553" t="s">
        <v>272</v>
      </c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L55" s="4"/>
    </row>
    <row r="56" spans="1:38" ht="20.100000000000001" customHeight="1">
      <c r="A56" s="631" t="s">
        <v>790</v>
      </c>
      <c r="B56" s="631"/>
      <c r="C56" s="631"/>
      <c r="D56" s="631"/>
      <c r="E56" s="631"/>
      <c r="F56" s="631"/>
      <c r="G56" s="632" t="s">
        <v>749</v>
      </c>
      <c r="H56" s="632"/>
      <c r="I56" s="632"/>
      <c r="J56" s="632"/>
      <c r="K56" s="632"/>
      <c r="L56" s="632"/>
      <c r="M56" s="632"/>
      <c r="O56" s="632"/>
      <c r="P56" s="632"/>
      <c r="Q56" s="632"/>
      <c r="R56" s="632"/>
      <c r="S56" s="632"/>
      <c r="T56" s="632"/>
      <c r="V56" s="632" t="str">
        <f ca="1">'Исходник '!B12</f>
        <v>Евдокимов А.О.</v>
      </c>
      <c r="W56" s="632"/>
      <c r="X56" s="632"/>
      <c r="Y56" s="632"/>
      <c r="Z56" s="632"/>
      <c r="AA56" s="632"/>
      <c r="AB56" s="632"/>
      <c r="AC56" s="632"/>
    </row>
    <row r="57" spans="1:38" ht="11.25" customHeight="1">
      <c r="A57" s="23"/>
      <c r="G57" s="633" t="s">
        <v>751</v>
      </c>
      <c r="H57" s="633"/>
      <c r="I57" s="633"/>
      <c r="J57" s="633"/>
      <c r="K57" s="633"/>
      <c r="L57" s="633"/>
      <c r="M57" s="633"/>
      <c r="O57" s="633" t="s">
        <v>653</v>
      </c>
      <c r="P57" s="633"/>
      <c r="Q57" s="633"/>
      <c r="R57" s="633"/>
      <c r="S57" s="633"/>
      <c r="T57" s="633"/>
      <c r="V57" s="633" t="s">
        <v>791</v>
      </c>
      <c r="W57" s="633"/>
      <c r="X57" s="633"/>
      <c r="Y57" s="633"/>
      <c r="Z57" s="633"/>
      <c r="AA57" s="633"/>
      <c r="AB57" s="633"/>
      <c r="AC57" s="633"/>
    </row>
    <row r="58" spans="1:38" ht="20.100000000000001" customHeight="1">
      <c r="A58" s="24"/>
      <c r="G58" s="632" t="s">
        <v>792</v>
      </c>
      <c r="H58" s="632"/>
      <c r="I58" s="632"/>
      <c r="J58" s="632"/>
      <c r="K58" s="632"/>
      <c r="L58" s="632"/>
      <c r="M58" s="632"/>
      <c r="O58" s="650"/>
      <c r="P58" s="650"/>
      <c r="Q58" s="650"/>
      <c r="R58" s="650"/>
      <c r="S58" s="650"/>
      <c r="T58" s="650"/>
      <c r="V58" s="650" t="str">
        <f ca="1">'Исходник '!B13</f>
        <v>Кокшаров С.В.</v>
      </c>
      <c r="W58" s="650"/>
      <c r="X58" s="650"/>
      <c r="Y58" s="650"/>
      <c r="Z58" s="650"/>
      <c r="AA58" s="650"/>
      <c r="AB58" s="650"/>
      <c r="AC58" s="650"/>
    </row>
    <row r="59" spans="1:38" ht="12" customHeight="1">
      <c r="A59" s="23"/>
      <c r="G59" s="633" t="s">
        <v>751</v>
      </c>
      <c r="H59" s="633"/>
      <c r="I59" s="633"/>
      <c r="J59" s="633"/>
      <c r="K59" s="633"/>
      <c r="L59" s="633"/>
      <c r="M59" s="633"/>
      <c r="O59" s="633" t="s">
        <v>653</v>
      </c>
      <c r="P59" s="633"/>
      <c r="Q59" s="633"/>
      <c r="R59" s="633"/>
      <c r="S59" s="633"/>
      <c r="T59" s="633"/>
      <c r="V59" s="633" t="s">
        <v>791</v>
      </c>
      <c r="W59" s="633"/>
      <c r="X59" s="633"/>
      <c r="Y59" s="633"/>
      <c r="Z59" s="633"/>
      <c r="AA59" s="633"/>
      <c r="AB59" s="633"/>
      <c r="AC59" s="633"/>
    </row>
    <row r="60" spans="1:38" ht="20.100000000000001" customHeight="1">
      <c r="A60" s="631" t="s">
        <v>793</v>
      </c>
      <c r="B60" s="631"/>
      <c r="C60" s="631"/>
      <c r="D60" s="631"/>
      <c r="E60" s="631"/>
      <c r="F60" s="631"/>
      <c r="G60" s="632" t="s">
        <v>749</v>
      </c>
      <c r="H60" s="632"/>
      <c r="I60" s="632"/>
      <c r="J60" s="632"/>
      <c r="K60" s="632"/>
      <c r="L60" s="632"/>
      <c r="M60" s="632"/>
      <c r="O60" s="650"/>
      <c r="P60" s="650"/>
      <c r="Q60" s="650"/>
      <c r="R60" s="650"/>
      <c r="S60" s="650"/>
      <c r="T60" s="650"/>
      <c r="V60" s="632" t="str">
        <f ca="1">'Исходник '!B12</f>
        <v>Евдокимов А.О.</v>
      </c>
      <c r="W60" s="632"/>
      <c r="X60" s="632"/>
      <c r="Y60" s="632"/>
      <c r="Z60" s="632"/>
      <c r="AA60" s="632"/>
      <c r="AB60" s="632"/>
      <c r="AC60" s="632"/>
    </row>
    <row r="61" spans="1:38" s="16" customFormat="1" ht="13.5" customHeight="1">
      <c r="A61" s="23"/>
      <c r="B61"/>
      <c r="C61"/>
      <c r="D61"/>
      <c r="E61"/>
      <c r="F61"/>
      <c r="G61" s="633" t="s">
        <v>751</v>
      </c>
      <c r="H61" s="633"/>
      <c r="I61" s="633"/>
      <c r="J61" s="633"/>
      <c r="K61" s="633"/>
      <c r="L61" s="633"/>
      <c r="M61" s="633"/>
      <c r="N61"/>
      <c r="O61" s="633" t="s">
        <v>653</v>
      </c>
      <c r="P61" s="633"/>
      <c r="Q61" s="633"/>
      <c r="R61" s="633"/>
      <c r="S61" s="633"/>
      <c r="T61" s="633"/>
      <c r="U61"/>
      <c r="V61" s="633" t="s">
        <v>791</v>
      </c>
      <c r="W61" s="633"/>
      <c r="X61" s="633"/>
      <c r="Y61" s="633"/>
      <c r="Z61" s="633"/>
      <c r="AA61" s="633"/>
      <c r="AB61" s="633"/>
      <c r="AC61" s="633"/>
    </row>
    <row r="62" spans="1:38" ht="20.100000000000001" customHeight="1">
      <c r="A62" s="683" t="s">
        <v>794</v>
      </c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683"/>
      <c r="AA62" s="683"/>
      <c r="AB62" s="683"/>
      <c r="AC62" s="683"/>
      <c r="AD62" s="444"/>
      <c r="AE62" s="444"/>
      <c r="AF62" s="444"/>
      <c r="AG62" s="444"/>
      <c r="AH62" s="444"/>
      <c r="AI62" s="444"/>
    </row>
    <row r="63" spans="1:38" ht="12.75" customHeight="1">
      <c r="A63" s="683" t="s">
        <v>795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83"/>
      <c r="Q63" s="683"/>
      <c r="R63" s="683"/>
      <c r="S63" s="683"/>
      <c r="T63" s="683"/>
      <c r="U63" s="683"/>
      <c r="V63" s="683"/>
      <c r="W63" s="683"/>
      <c r="X63" s="683"/>
      <c r="Y63" s="683"/>
      <c r="Z63" s="683"/>
      <c r="AA63" s="683"/>
      <c r="AB63" s="683"/>
      <c r="AC63" s="683"/>
      <c r="AD63" s="444"/>
      <c r="AE63" s="444"/>
      <c r="AF63" s="444"/>
      <c r="AG63" s="444"/>
      <c r="AH63" s="444"/>
      <c r="AI63" s="444"/>
    </row>
  </sheetData>
  <mergeCells count="236">
    <mergeCell ref="A62:AI62"/>
    <mergeCell ref="A63:AI63"/>
    <mergeCell ref="G59:M59"/>
    <mergeCell ref="O59:T59"/>
    <mergeCell ref="V59:AC59"/>
    <mergeCell ref="A60:F60"/>
    <mergeCell ref="G60:M60"/>
    <mergeCell ref="O60:T60"/>
    <mergeCell ref="V60:AC60"/>
    <mergeCell ref="G61:M61"/>
    <mergeCell ref="O61:T61"/>
    <mergeCell ref="V61:AC61"/>
    <mergeCell ref="A56:F56"/>
    <mergeCell ref="G56:M56"/>
    <mergeCell ref="O56:T56"/>
    <mergeCell ref="V56:AC56"/>
    <mergeCell ref="G57:M57"/>
    <mergeCell ref="O57:T57"/>
    <mergeCell ref="V57:AC57"/>
    <mergeCell ref="G58:M58"/>
    <mergeCell ref="O58:T58"/>
    <mergeCell ref="V58:AC58"/>
    <mergeCell ref="A53:B53"/>
    <mergeCell ref="C53:G53"/>
    <mergeCell ref="H53:N53"/>
    <mergeCell ref="O53:T53"/>
    <mergeCell ref="U53:AB53"/>
    <mergeCell ref="AC53:AI53"/>
    <mergeCell ref="A54:G54"/>
    <mergeCell ref="H54:AG54"/>
    <mergeCell ref="A55:AG55"/>
    <mergeCell ref="A51:B51"/>
    <mergeCell ref="C51:G51"/>
    <mergeCell ref="H51:N51"/>
    <mergeCell ref="O51:T51"/>
    <mergeCell ref="U51:AB51"/>
    <mergeCell ref="AC51:AI51"/>
    <mergeCell ref="A52:B52"/>
    <mergeCell ref="C52:G52"/>
    <mergeCell ref="H52:N52"/>
    <mergeCell ref="AC52:AI52"/>
    <mergeCell ref="A48:AI48"/>
    <mergeCell ref="A49:B49"/>
    <mergeCell ref="C49:G49"/>
    <mergeCell ref="H49:N49"/>
    <mergeCell ref="O49:T49"/>
    <mergeCell ref="U49:AB49"/>
    <mergeCell ref="AC49:AI49"/>
    <mergeCell ref="A50:B50"/>
    <mergeCell ref="C50:G50"/>
    <mergeCell ref="H50:N50"/>
    <mergeCell ref="O50:T50"/>
    <mergeCell ref="O52:T52"/>
    <mergeCell ref="U52:AB52"/>
    <mergeCell ref="U47:AB47"/>
    <mergeCell ref="AC47:AI47"/>
    <mergeCell ref="U50:AB50"/>
    <mergeCell ref="AC50:AI50"/>
    <mergeCell ref="A46:B46"/>
    <mergeCell ref="C46:G46"/>
    <mergeCell ref="H46:N46"/>
    <mergeCell ref="O46:T46"/>
    <mergeCell ref="U46:AB46"/>
    <mergeCell ref="AC46:AI46"/>
    <mergeCell ref="A44:B44"/>
    <mergeCell ref="C44:G44"/>
    <mergeCell ref="H44:N44"/>
    <mergeCell ref="O44:T44"/>
    <mergeCell ref="H47:N47"/>
    <mergeCell ref="O47:T47"/>
    <mergeCell ref="A47:B47"/>
    <mergeCell ref="C47:G47"/>
    <mergeCell ref="H40:N40"/>
    <mergeCell ref="O40:T40"/>
    <mergeCell ref="U44:AB44"/>
    <mergeCell ref="AC44:AI44"/>
    <mergeCell ref="A45:B45"/>
    <mergeCell ref="C45:G45"/>
    <mergeCell ref="H45:N45"/>
    <mergeCell ref="O45:T45"/>
    <mergeCell ref="U45:AB45"/>
    <mergeCell ref="AC45:AI45"/>
    <mergeCell ref="A43:B43"/>
    <mergeCell ref="C43:G43"/>
    <mergeCell ref="H43:N43"/>
    <mergeCell ref="O43:T43"/>
    <mergeCell ref="U40:AB40"/>
    <mergeCell ref="AC40:AI40"/>
    <mergeCell ref="A41:AI41"/>
    <mergeCell ref="A42:AI42"/>
    <mergeCell ref="A40:B40"/>
    <mergeCell ref="C40:G40"/>
    <mergeCell ref="U43:AB43"/>
    <mergeCell ref="AC43:AI43"/>
    <mergeCell ref="A38:B38"/>
    <mergeCell ref="C38:G38"/>
    <mergeCell ref="H38:N38"/>
    <mergeCell ref="O38:T38"/>
    <mergeCell ref="U38:AB38"/>
    <mergeCell ref="AC38:AI38"/>
    <mergeCell ref="A39:B39"/>
    <mergeCell ref="C39:G39"/>
    <mergeCell ref="AC37:AI37"/>
    <mergeCell ref="A36:B36"/>
    <mergeCell ref="C36:G36"/>
    <mergeCell ref="H36:N36"/>
    <mergeCell ref="O36:T36"/>
    <mergeCell ref="H39:N39"/>
    <mergeCell ref="O39:T39"/>
    <mergeCell ref="U39:AB39"/>
    <mergeCell ref="AC39:AI39"/>
    <mergeCell ref="C34:G34"/>
    <mergeCell ref="H34:N34"/>
    <mergeCell ref="O34:T34"/>
    <mergeCell ref="U36:AB36"/>
    <mergeCell ref="AC36:AI36"/>
    <mergeCell ref="A37:B37"/>
    <mergeCell ref="C37:G37"/>
    <mergeCell ref="H37:N37"/>
    <mergeCell ref="O37:T37"/>
    <mergeCell ref="U37:AB37"/>
    <mergeCell ref="O32:T32"/>
    <mergeCell ref="U34:AB34"/>
    <mergeCell ref="AC34:AI34"/>
    <mergeCell ref="A35:B35"/>
    <mergeCell ref="C35:G35"/>
    <mergeCell ref="H35:N35"/>
    <mergeCell ref="O35:T35"/>
    <mergeCell ref="U35:AB35"/>
    <mergeCell ref="AC35:AI35"/>
    <mergeCell ref="A34:B34"/>
    <mergeCell ref="A33:B33"/>
    <mergeCell ref="C33:G33"/>
    <mergeCell ref="H33:N33"/>
    <mergeCell ref="O33:T33"/>
    <mergeCell ref="U33:AB33"/>
    <mergeCell ref="AC33:AI33"/>
    <mergeCell ref="AC31:AI31"/>
    <mergeCell ref="A29:B29"/>
    <mergeCell ref="C29:G29"/>
    <mergeCell ref="H29:N29"/>
    <mergeCell ref="O29:T29"/>
    <mergeCell ref="U32:AB32"/>
    <mergeCell ref="AC32:AI32"/>
    <mergeCell ref="A32:B32"/>
    <mergeCell ref="C32:G32"/>
    <mergeCell ref="H32:N32"/>
    <mergeCell ref="H27:N27"/>
    <mergeCell ref="O27:T27"/>
    <mergeCell ref="U29:AB29"/>
    <mergeCell ref="AC29:AI29"/>
    <mergeCell ref="A30:AI30"/>
    <mergeCell ref="A31:B31"/>
    <mergeCell ref="C31:G31"/>
    <mergeCell ref="H31:N31"/>
    <mergeCell ref="O31:T31"/>
    <mergeCell ref="U31:AB31"/>
    <mergeCell ref="U27:AB27"/>
    <mergeCell ref="AC27:AI27"/>
    <mergeCell ref="A28:B28"/>
    <mergeCell ref="C28:G28"/>
    <mergeCell ref="H28:N28"/>
    <mergeCell ref="O28:T28"/>
    <mergeCell ref="U28:AB28"/>
    <mergeCell ref="AC28:AI28"/>
    <mergeCell ref="A27:B27"/>
    <mergeCell ref="C27:G27"/>
    <mergeCell ref="A26:B26"/>
    <mergeCell ref="C26:G26"/>
    <mergeCell ref="H26:N26"/>
    <mergeCell ref="O26:T26"/>
    <mergeCell ref="U26:AB26"/>
    <mergeCell ref="AC26:AI26"/>
    <mergeCell ref="A23:B23"/>
    <mergeCell ref="C23:G23"/>
    <mergeCell ref="H23:N23"/>
    <mergeCell ref="O23:T23"/>
    <mergeCell ref="U25:AB25"/>
    <mergeCell ref="AC25:AI25"/>
    <mergeCell ref="A25:B25"/>
    <mergeCell ref="C25:G25"/>
    <mergeCell ref="H25:N25"/>
    <mergeCell ref="O25:T25"/>
    <mergeCell ref="H21:N21"/>
    <mergeCell ref="O21:T21"/>
    <mergeCell ref="U23:AB23"/>
    <mergeCell ref="AC23:AI23"/>
    <mergeCell ref="A24:B24"/>
    <mergeCell ref="C24:G24"/>
    <mergeCell ref="H24:N24"/>
    <mergeCell ref="O24:T24"/>
    <mergeCell ref="U24:AB24"/>
    <mergeCell ref="AC24:AI24"/>
    <mergeCell ref="U21:AB21"/>
    <mergeCell ref="AC21:AI21"/>
    <mergeCell ref="A22:B22"/>
    <mergeCell ref="C22:G22"/>
    <mergeCell ref="H22:N22"/>
    <mergeCell ref="O22:T22"/>
    <mergeCell ref="U22:AB22"/>
    <mergeCell ref="AC22:AI22"/>
    <mergeCell ref="A21:B21"/>
    <mergeCell ref="C21:G21"/>
    <mergeCell ref="AC17:AI17"/>
    <mergeCell ref="A18:AI18"/>
    <mergeCell ref="A19:AI19"/>
    <mergeCell ref="A17:B17"/>
    <mergeCell ref="C17:G17"/>
    <mergeCell ref="H17:N17"/>
    <mergeCell ref="O17:T17"/>
    <mergeCell ref="O16:T16"/>
    <mergeCell ref="A20:B20"/>
    <mergeCell ref="C20:G20"/>
    <mergeCell ref="H20:N20"/>
    <mergeCell ref="O20:T20"/>
    <mergeCell ref="U17:AB17"/>
    <mergeCell ref="A8:AI8"/>
    <mergeCell ref="U20:AB20"/>
    <mergeCell ref="AC20:AI20"/>
    <mergeCell ref="A11:AI11"/>
    <mergeCell ref="A12:AI12"/>
    <mergeCell ref="A13:AI14"/>
    <mergeCell ref="A15:AC15"/>
    <mergeCell ref="A16:B16"/>
    <mergeCell ref="C16:G16"/>
    <mergeCell ref="H16:N16"/>
    <mergeCell ref="A10:AI10"/>
    <mergeCell ref="U16:AB16"/>
    <mergeCell ref="AC16:AI16"/>
    <mergeCell ref="V1:AI1"/>
    <mergeCell ref="B2:F2"/>
    <mergeCell ref="V2:AI2"/>
    <mergeCell ref="V3:AI3"/>
    <mergeCell ref="AA4:AI4"/>
    <mergeCell ref="A6:AI6"/>
    <mergeCell ref="A7:AI7"/>
  </mergeCells>
  <phoneticPr fontId="0" type="noConversion"/>
  <pageMargins left="0.70833299999999999" right="0.70833299999999999" top="0.74791700000000005" bottom="0.74791700000000005" header="0.315278" footer="0.315278"/>
  <pageSetup paperSize="9" fitToWidth="0" orientation="landscape"/>
  <headerFooter>
    <oddFooter>&amp;C&amp;A стр.&amp;P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P222"/>
  <sheetViews>
    <sheetView topLeftCell="A7" zoomScale="87" workbookViewId="0">
      <selection activeCell="AL39" sqref="AL39"/>
    </sheetView>
  </sheetViews>
  <sheetFormatPr defaultRowHeight="15.75" outlineLevelCol="1"/>
  <cols>
    <col min="1" max="1" width="4.28515625" customWidth="1"/>
    <col min="2" max="2" width="15" customWidth="1"/>
    <col min="3" max="3" width="6.7109375" customWidth="1"/>
    <col min="4" max="4" width="7.42578125" customWidth="1"/>
    <col min="5" max="5" width="5.42578125" customWidth="1"/>
    <col min="6" max="6" width="6.85546875" customWidth="1"/>
    <col min="7" max="7" width="1" hidden="1" customWidth="1"/>
    <col min="8" max="8" width="4.5703125" customWidth="1"/>
    <col min="9" max="9" width="4.42578125" customWidth="1"/>
    <col min="10" max="10" width="2.85546875" customWidth="1"/>
    <col min="11" max="11" width="2" customWidth="1"/>
    <col min="12" max="12" width="2.7109375" customWidth="1"/>
    <col min="13" max="13" width="2.42578125" customWidth="1"/>
    <col min="14" max="14" width="2.85546875" customWidth="1"/>
    <col min="15" max="15" width="2.28515625" customWidth="1"/>
    <col min="16" max="16" width="3.28515625" customWidth="1"/>
    <col min="17" max="17" width="4.140625" customWidth="1"/>
    <col min="18" max="18" width="3.28515625" customWidth="1"/>
    <col min="19" max="19" width="3.7109375" customWidth="1"/>
    <col min="20" max="20" width="2.5703125" customWidth="1"/>
    <col min="21" max="21" width="4.42578125" customWidth="1"/>
    <col min="22" max="22" width="3.28515625" customWidth="1"/>
    <col min="23" max="23" width="4.140625" customWidth="1"/>
    <col min="24" max="24" width="3.28515625" customWidth="1"/>
    <col min="25" max="25" width="5.7109375" customWidth="1"/>
    <col min="26" max="26" width="3.42578125" customWidth="1"/>
    <col min="27" max="27" width="4.5703125" customWidth="1"/>
    <col min="28" max="30" width="3.2851562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5" width="3.42578125" customWidth="1"/>
    <col min="36" max="36" width="9.28515625" customWidth="1" outlineLevel="1"/>
    <col min="37" max="37" width="8.140625" customWidth="1" outlineLevel="1"/>
    <col min="38" max="38" width="9.140625" style="6"/>
  </cols>
  <sheetData>
    <row r="1" spans="1:38" s="55" customFormat="1" ht="16.5" customHeight="1">
      <c r="A1" s="66"/>
      <c r="B1" s="64" t="str">
        <f ca="1">'Исходник '!B3</f>
        <v>ООО «ТМ-Электро»</v>
      </c>
      <c r="C1" s="64"/>
      <c r="O1" s="64"/>
      <c r="R1" s="295"/>
      <c r="S1" s="64" t="s">
        <v>489</v>
      </c>
      <c r="V1" s="603">
        <f ca="1">'Исходник '!B19</f>
        <v>0</v>
      </c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</row>
    <row r="2" spans="1:38" s="55" customFormat="1" ht="15.75" customHeight="1">
      <c r="A2" s="66"/>
      <c r="B2" s="504" t="s">
        <v>632</v>
      </c>
      <c r="C2" s="516"/>
      <c r="D2" s="516"/>
      <c r="E2" s="516"/>
      <c r="F2" s="516"/>
      <c r="G2" s="298"/>
      <c r="H2" s="298"/>
      <c r="I2" s="36"/>
      <c r="J2" s="36"/>
      <c r="K2" s="36"/>
      <c r="L2" s="36"/>
      <c r="M2" s="36"/>
      <c r="N2" s="36"/>
      <c r="O2" s="262"/>
      <c r="Q2" s="36"/>
      <c r="R2" s="100"/>
      <c r="S2" s="262" t="s">
        <v>491</v>
      </c>
      <c r="V2" s="603" t="str">
        <f ca="1">'Исходник '!B20</f>
        <v>Фитнес-клуб</v>
      </c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554"/>
      <c r="AI2" s="554"/>
    </row>
    <row r="3" spans="1:38" s="55" customFormat="1" ht="15" customHeight="1">
      <c r="A3" s="66"/>
      <c r="B3" s="100" t="str">
        <f ca="1">CONCATENATE('Исходник '!A5," ",'Исходник '!B5)</f>
        <v>Свидетельство о регистрации № 6231-2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2"/>
      <c r="Q3" s="100"/>
      <c r="S3" s="262" t="s">
        <v>494</v>
      </c>
      <c r="V3" s="603">
        <f ca="1">'Исходник '!B21</f>
        <v>0</v>
      </c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</row>
    <row r="4" spans="1:38" s="55" customFormat="1" ht="15" customHeight="1">
      <c r="A4" s="66"/>
      <c r="B4" s="100" t="str">
        <f ca="1">CONCATENATE('Исходник '!A7," ",'Исходник '!B7)</f>
        <v xml:space="preserve">Действительно до «11» января 2022 г. 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62"/>
      <c r="S4" s="262" t="s">
        <v>211</v>
      </c>
      <c r="X4" s="262"/>
      <c r="AA4" s="603" t="str">
        <f ca="1">'Исходник '!B34</f>
        <v>29 января 2020г.</v>
      </c>
      <c r="AB4" s="554"/>
      <c r="AC4" s="554"/>
      <c r="AD4" s="554"/>
      <c r="AE4" s="554"/>
      <c r="AF4" s="554"/>
      <c r="AG4" s="554"/>
      <c r="AH4" s="554"/>
      <c r="AI4" s="554"/>
    </row>
    <row r="5" spans="1:38" s="55" customFormat="1" ht="12" customHeight="1">
      <c r="A5" s="66"/>
    </row>
    <row r="6" spans="1:38" s="55" customFormat="1">
      <c r="A6" s="517" t="str">
        <f ca="1">CONCATENATE('Исходник '!A16," ",'Исходник '!F17)</f>
        <v>Протокол  №505-12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</row>
    <row r="7" spans="1:38" s="6" customFormat="1" ht="18" customHeight="1">
      <c r="A7" s="660" t="s">
        <v>273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/>
      <c r="AK7"/>
    </row>
    <row r="8" spans="1:38" s="6" customFormat="1" ht="18" customHeight="1">
      <c r="A8" s="651" t="s">
        <v>518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/>
      <c r="AK8"/>
    </row>
    <row r="9" spans="1:38" ht="18" customHeight="1">
      <c r="A9" s="7"/>
      <c r="B9" s="653" t="str">
        <f ca="1">'Исходник '!A36</f>
        <v>Температура воздуха:</v>
      </c>
      <c r="C9" s="653"/>
      <c r="D9" s="72">
        <f ca="1">'Исходник '!B36</f>
        <v>21</v>
      </c>
      <c r="E9" s="7" t="s">
        <v>855</v>
      </c>
      <c r="F9" s="653" t="str">
        <f ca="1">'Исходник '!A37</f>
        <v>Влажность воздуха:</v>
      </c>
      <c r="G9" s="444"/>
      <c r="H9" s="444"/>
      <c r="I9" s="444"/>
      <c r="J9" s="444"/>
      <c r="K9" s="652">
        <f ca="1">'Исходник '!B37</f>
        <v>58</v>
      </c>
      <c r="L9" s="654"/>
      <c r="M9" s="654"/>
      <c r="N9" s="12" t="s">
        <v>856</v>
      </c>
      <c r="O9" s="12"/>
      <c r="P9" s="653" t="str">
        <f ca="1">'Исходник '!A38</f>
        <v>Атмосферное давление:</v>
      </c>
      <c r="Q9" s="655"/>
      <c r="R9" s="655"/>
      <c r="S9" s="655"/>
      <c r="T9" s="655"/>
      <c r="U9" s="655"/>
      <c r="V9" s="652">
        <f ca="1">'Исходник '!B38</f>
        <v>741</v>
      </c>
      <c r="W9" s="652"/>
      <c r="X9" s="7" t="s">
        <v>525</v>
      </c>
      <c r="Y9" s="7"/>
      <c r="Z9" s="7"/>
      <c r="AL9"/>
    </row>
    <row r="10" spans="1:38" s="6" customFormat="1" ht="18" customHeight="1">
      <c r="A10" s="651" t="s">
        <v>857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  <c r="AC10" s="651"/>
      <c r="AD10" s="651"/>
      <c r="AE10" s="651"/>
      <c r="AF10" s="651"/>
      <c r="AG10" s="651"/>
      <c r="AH10" s="651"/>
      <c r="AI10" s="651"/>
      <c r="AJ10"/>
      <c r="AK10"/>
    </row>
    <row r="11" spans="1:38" s="6" customFormat="1" ht="18" customHeight="1">
      <c r="A11" s="508" t="str">
        <f ca="1">'Исходник '!B23</f>
        <v>эксплуатационные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/>
      <c r="AK11"/>
    </row>
    <row r="12" spans="1:38" s="6" customFormat="1" ht="18" customHeight="1">
      <c r="A12" s="606" t="s">
        <v>802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/>
      <c r="AK12"/>
    </row>
    <row r="13" spans="1:38" s="35" customFormat="1" ht="18" customHeight="1">
      <c r="A13" s="900" t="s">
        <v>858</v>
      </c>
      <c r="B13" s="900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/>
      <c r="AA13" s="900"/>
      <c r="AB13" s="900"/>
      <c r="AC13" s="900"/>
      <c r="AD13" s="900"/>
      <c r="AE13" s="900"/>
      <c r="AF13" s="900"/>
      <c r="AG13" s="900"/>
      <c r="AH13" s="900"/>
      <c r="AI13" s="900"/>
      <c r="AJ13"/>
      <c r="AK13" s="134"/>
    </row>
    <row r="14" spans="1:38" s="35" customFormat="1" ht="18" customHeight="1">
      <c r="A14" s="555" t="s">
        <v>274</v>
      </c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/>
      <c r="AK14" s="134"/>
    </row>
    <row r="15" spans="1:38" s="134" customFormat="1" ht="18" customHeight="1">
      <c r="A15" s="857" t="s">
        <v>804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  <c r="AE15" s="857"/>
      <c r="AF15" s="857"/>
      <c r="AG15" s="857"/>
      <c r="AH15" s="857"/>
      <c r="AI15" s="857"/>
      <c r="AJ15" s="137"/>
      <c r="AL15" s="35"/>
    </row>
    <row r="16" spans="1:38" ht="27.95" customHeight="1">
      <c r="A16" s="548" t="s">
        <v>540</v>
      </c>
      <c r="B16" s="665" t="s">
        <v>275</v>
      </c>
      <c r="C16" s="666"/>
      <c r="D16" s="667"/>
      <c r="E16" s="548" t="s">
        <v>861</v>
      </c>
      <c r="F16" s="548"/>
      <c r="G16" s="548"/>
      <c r="H16" s="548"/>
      <c r="I16" s="548"/>
      <c r="J16" s="548" t="s">
        <v>276</v>
      </c>
      <c r="K16" s="548"/>
      <c r="L16" s="548"/>
      <c r="M16" s="548" t="s">
        <v>277</v>
      </c>
      <c r="N16" s="548"/>
      <c r="O16" s="548"/>
      <c r="P16" s="548" t="s">
        <v>278</v>
      </c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661" t="s">
        <v>865</v>
      </c>
      <c r="AK16" s="661" t="s">
        <v>278</v>
      </c>
    </row>
    <row r="17" spans="1:42" ht="15.75" customHeight="1">
      <c r="A17" s="548"/>
      <c r="B17" s="668"/>
      <c r="C17" s="669"/>
      <c r="D17" s="670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661"/>
      <c r="AK17" s="661"/>
    </row>
    <row r="18" spans="1:42" ht="15.75" customHeight="1">
      <c r="A18" s="548"/>
      <c r="B18" s="668"/>
      <c r="C18" s="669"/>
      <c r="D18" s="670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 t="s">
        <v>867</v>
      </c>
      <c r="Q18" s="548"/>
      <c r="R18" s="548" t="s">
        <v>868</v>
      </c>
      <c r="S18" s="548"/>
      <c r="T18" s="548" t="s">
        <v>869</v>
      </c>
      <c r="U18" s="548"/>
      <c r="V18" s="548" t="s">
        <v>870</v>
      </c>
      <c r="W18" s="548"/>
      <c r="X18" s="548" t="s">
        <v>871</v>
      </c>
      <c r="Y18" s="548"/>
      <c r="Z18" s="548" t="s">
        <v>872</v>
      </c>
      <c r="AA18" s="548"/>
      <c r="AB18" s="548" t="s">
        <v>873</v>
      </c>
      <c r="AC18" s="548"/>
      <c r="AD18" s="548" t="s">
        <v>874</v>
      </c>
      <c r="AE18" s="548"/>
      <c r="AF18" s="548" t="s">
        <v>875</v>
      </c>
      <c r="AG18" s="548"/>
      <c r="AH18" s="548" t="s">
        <v>876</v>
      </c>
      <c r="AI18" s="548"/>
      <c r="AJ18" s="661"/>
      <c r="AK18" s="661"/>
    </row>
    <row r="19" spans="1:42" ht="15.75" customHeight="1">
      <c r="A19" s="548"/>
      <c r="B19" s="668"/>
      <c r="C19" s="669"/>
      <c r="D19" s="670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661"/>
      <c r="AK19" s="661"/>
    </row>
    <row r="20" spans="1:42" ht="15.75" customHeight="1">
      <c r="A20" s="548"/>
      <c r="B20" s="668"/>
      <c r="C20" s="669"/>
      <c r="D20" s="670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661"/>
      <c r="AK20" s="661"/>
    </row>
    <row r="21" spans="1:42" ht="54.75" customHeight="1">
      <c r="A21" s="548"/>
      <c r="B21" s="562"/>
      <c r="C21" s="563"/>
      <c r="D21" s="564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661"/>
      <c r="AK21" s="662"/>
      <c r="AP21" s="7"/>
    </row>
    <row r="22" spans="1:42" s="86" customFormat="1" ht="20.100000000000001" customHeight="1">
      <c r="A22" s="155">
        <v>1</v>
      </c>
      <c r="B22" s="81">
        <v>2</v>
      </c>
      <c r="C22" s="82"/>
      <c r="D22" s="82"/>
      <c r="E22" s="82">
        <v>3</v>
      </c>
      <c r="F22" s="83"/>
      <c r="G22" s="83"/>
      <c r="H22" s="83"/>
      <c r="I22" s="84"/>
      <c r="J22" s="671">
        <v>4</v>
      </c>
      <c r="K22" s="671"/>
      <c r="L22" s="671"/>
      <c r="M22" s="671">
        <v>5</v>
      </c>
      <c r="N22" s="671"/>
      <c r="O22" s="671"/>
      <c r="P22" s="671">
        <v>6</v>
      </c>
      <c r="Q22" s="671"/>
      <c r="R22" s="671">
        <v>7</v>
      </c>
      <c r="S22" s="671"/>
      <c r="T22" s="671">
        <v>8</v>
      </c>
      <c r="U22" s="671"/>
      <c r="V22" s="671">
        <v>9</v>
      </c>
      <c r="W22" s="671"/>
      <c r="X22" s="671">
        <v>10</v>
      </c>
      <c r="Y22" s="671"/>
      <c r="Z22" s="671">
        <v>11</v>
      </c>
      <c r="AA22" s="671"/>
      <c r="AB22" s="671">
        <v>12</v>
      </c>
      <c r="AC22" s="671"/>
      <c r="AD22" s="671">
        <v>13</v>
      </c>
      <c r="AE22" s="671"/>
      <c r="AF22" s="671">
        <v>14</v>
      </c>
      <c r="AG22" s="671"/>
      <c r="AH22" s="671">
        <v>15</v>
      </c>
      <c r="AI22" s="671"/>
      <c r="AJ22" s="87"/>
      <c r="AK22" s="85"/>
      <c r="AL22" s="53"/>
      <c r="AN22"/>
      <c r="AO22"/>
    </row>
    <row r="23" spans="1:42" s="134" customFormat="1" ht="20.100000000000001" customHeight="1">
      <c r="A23" s="73" t="s">
        <v>279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87"/>
      <c r="AK23" s="87"/>
      <c r="AL23" s="35"/>
      <c r="AN23"/>
      <c r="AO23"/>
    </row>
    <row r="24" spans="1:42" s="148" customFormat="1" ht="35.1" customHeight="1">
      <c r="A24" s="135">
        <v>1</v>
      </c>
      <c r="B24" s="545" t="s">
        <v>280</v>
      </c>
      <c r="C24" s="546"/>
      <c r="D24" s="147" t="str">
        <f>IF(AJ24="АВС","~380В","~220В")</f>
        <v>~380В</v>
      </c>
      <c r="E24" s="545" t="s">
        <v>281</v>
      </c>
      <c r="F24" s="546"/>
      <c r="G24" s="250" t="str">
        <f>IF(OR(E24="ПВС",E24="ПУНП",E24="ПУГНП",E24="ШВВП"),"*"," ")</f>
        <v xml:space="preserve"> </v>
      </c>
      <c r="H24" s="249" t="s">
        <v>282</v>
      </c>
      <c r="I24" s="147">
        <v>185</v>
      </c>
      <c r="J24" s="548">
        <f>IF(I24&gt;16,2500,1000)</f>
        <v>2500</v>
      </c>
      <c r="K24" s="546"/>
      <c r="L24" s="547"/>
      <c r="M24" s="548">
        <v>0.5</v>
      </c>
      <c r="N24" s="548"/>
      <c r="O24" s="548"/>
      <c r="P24" s="663">
        <f>IF(AJ24="АВС",TRUNC((AK24+AK24*15/100)/10,0)*10,"-")</f>
        <v>13220</v>
      </c>
      <c r="Q24" s="663"/>
      <c r="R24" s="672">
        <f>IF(AJ24="АВС",TRUNC((AK24-AK24*10/100)/10,0)*10,"-")</f>
        <v>10350</v>
      </c>
      <c r="S24" s="673"/>
      <c r="T24" s="663">
        <f>IF(AJ24="АВС",TRUNC((AK24+AK24*8/100)/10,0)*10,"-")</f>
        <v>12420</v>
      </c>
      <c r="U24" s="663"/>
      <c r="V24" s="663">
        <f>IF(OR(AJ24="АВС",AJ24="А"),TRUNC((AK24-AK24*6/100)/10,0)*10,"-")</f>
        <v>10810</v>
      </c>
      <c r="W24" s="663"/>
      <c r="X24" s="663">
        <f>IF(OR(AJ24="АВС",AJ24="В"),TRUNC((AK24-AK24*9/100)/10,0)*10,"-")</f>
        <v>10460</v>
      </c>
      <c r="Y24" s="663"/>
      <c r="Z24" s="663">
        <f>IF(OR(AJ24="АВС",AJ24="С"),TRUNC((AK24+AK24*4/100)/10,0)*10,"-")</f>
        <v>11960</v>
      </c>
      <c r="AA24" s="663"/>
      <c r="AB24" s="663" t="s">
        <v>452</v>
      </c>
      <c r="AC24" s="663"/>
      <c r="AD24" s="663" t="s">
        <v>452</v>
      </c>
      <c r="AE24" s="663"/>
      <c r="AF24" s="663" t="s">
        <v>452</v>
      </c>
      <c r="AG24" s="663"/>
      <c r="AH24" s="548" t="s">
        <v>452</v>
      </c>
      <c r="AI24" s="548"/>
      <c r="AJ24" s="149" t="s">
        <v>440</v>
      </c>
      <c r="AK24" s="150">
        <v>11500</v>
      </c>
    </row>
    <row r="25" spans="1:42" s="134" customFormat="1" ht="20.100000000000001" customHeight="1">
      <c r="A25" s="73" t="s">
        <v>283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87"/>
      <c r="AK25" s="87"/>
      <c r="AL25" s="35"/>
      <c r="AN25"/>
      <c r="AO25"/>
    </row>
    <row r="26" spans="1:42" s="148" customFormat="1" ht="30" customHeight="1">
      <c r="A26" s="135">
        <v>2</v>
      </c>
      <c r="B26" s="545" t="s">
        <v>280</v>
      </c>
      <c r="C26" s="546"/>
      <c r="D26" s="147" t="str">
        <f>IF(AJ26="АВС","~380В","~220В")</f>
        <v>~380В</v>
      </c>
      <c r="E26" s="545" t="s">
        <v>281</v>
      </c>
      <c r="F26" s="546"/>
      <c r="G26" s="250" t="str">
        <f>IF(OR(E26="ПВС",E26="ПУНП",E26="ПУГНП",E26="ШВВП"),"*"," ")</f>
        <v xml:space="preserve"> </v>
      </c>
      <c r="H26" s="249" t="s">
        <v>282</v>
      </c>
      <c r="I26" s="147">
        <v>185</v>
      </c>
      <c r="J26" s="548">
        <f>IF(I26&gt;16,2500,1000)</f>
        <v>2500</v>
      </c>
      <c r="K26" s="546"/>
      <c r="L26" s="547"/>
      <c r="M26" s="548">
        <v>0.5</v>
      </c>
      <c r="N26" s="548"/>
      <c r="O26" s="548"/>
      <c r="P26" s="663">
        <f>IF(AJ26="АВС",TRUNC((AK26+AK26*15/100)/10,0)*10,"-")</f>
        <v>13910</v>
      </c>
      <c r="Q26" s="663"/>
      <c r="R26" s="672">
        <f>IF(AJ26="АВС",TRUNC((AK26-AK26*10/100)/10,0)*10,"-")</f>
        <v>10890</v>
      </c>
      <c r="S26" s="673"/>
      <c r="T26" s="663">
        <f>IF(AJ26="АВС",TRUNC((AK26+AK26*8/100)/10,0)*10,"-")</f>
        <v>13060</v>
      </c>
      <c r="U26" s="663"/>
      <c r="V26" s="663">
        <f>IF(OR(AJ26="АВС",AJ26="А"),TRUNC((AK26-AK26*6/100)/10,0)*10,"-")</f>
        <v>11370</v>
      </c>
      <c r="W26" s="663"/>
      <c r="X26" s="663">
        <f>IF(OR(AJ26="АВС",AJ26="В"),TRUNC((AK26-AK26*9/100)/10,0)*10,"-")</f>
        <v>11010</v>
      </c>
      <c r="Y26" s="663"/>
      <c r="Z26" s="663">
        <f>IF(OR(AJ26="АВС",AJ26="С"),TRUNC((AK26+AK26*4/100)/10,0)*10,"-")</f>
        <v>12580</v>
      </c>
      <c r="AA26" s="663"/>
      <c r="AB26" s="663" t="s">
        <v>452</v>
      </c>
      <c r="AC26" s="663"/>
      <c r="AD26" s="663" t="s">
        <v>452</v>
      </c>
      <c r="AE26" s="663"/>
      <c r="AF26" s="663" t="s">
        <v>452</v>
      </c>
      <c r="AG26" s="663"/>
      <c r="AH26" s="548" t="s">
        <v>452</v>
      </c>
      <c r="AI26" s="548"/>
      <c r="AJ26" s="149" t="s">
        <v>440</v>
      </c>
      <c r="AK26" s="150">
        <v>12100</v>
      </c>
    </row>
    <row r="27" spans="1:42" s="134" customFormat="1" ht="20.100000000000001" customHeight="1">
      <c r="A27" s="73" t="s">
        <v>284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  <c r="AJ27" s="87"/>
      <c r="AK27" s="87"/>
      <c r="AL27" s="35"/>
      <c r="AN27"/>
      <c r="AO27"/>
    </row>
    <row r="28" spans="1:42" s="148" customFormat="1" ht="30" customHeight="1">
      <c r="A28" s="135">
        <v>3</v>
      </c>
      <c r="B28" s="545" t="s">
        <v>280</v>
      </c>
      <c r="C28" s="546"/>
      <c r="D28" s="147" t="str">
        <f>IF(AJ28="АВС","~380В","~220В")</f>
        <v>~380В</v>
      </c>
      <c r="E28" s="545" t="s">
        <v>281</v>
      </c>
      <c r="F28" s="546"/>
      <c r="G28" s="250" t="str">
        <f>IF(OR(E28="ПВС",E28="ПУНП",E28="ПУГНП",E28="ШВВП"),"*"," ")</f>
        <v xml:space="preserve"> </v>
      </c>
      <c r="H28" s="249" t="s">
        <v>282</v>
      </c>
      <c r="I28" s="147">
        <v>185</v>
      </c>
      <c r="J28" s="548">
        <f>IF(I28&gt;16,2500,1000)</f>
        <v>2500</v>
      </c>
      <c r="K28" s="546"/>
      <c r="L28" s="547"/>
      <c r="M28" s="548">
        <v>0.5</v>
      </c>
      <c r="N28" s="548"/>
      <c r="O28" s="548"/>
      <c r="P28" s="663">
        <f>IF(AJ28="АВС",TRUNC((AK28+AK28*15/100)/10,0)*10,"-")</f>
        <v>13110</v>
      </c>
      <c r="Q28" s="663"/>
      <c r="R28" s="672">
        <f>IF(AJ28="АВС",TRUNC((AK28-AK28*10/100)/10,0)*10,"-")</f>
        <v>10260</v>
      </c>
      <c r="S28" s="673"/>
      <c r="T28" s="663">
        <f>IF(AJ28="АВС",TRUNC((AK28+AK28*8/100)/10,0)*10,"-")</f>
        <v>12310</v>
      </c>
      <c r="U28" s="663"/>
      <c r="V28" s="663">
        <f>IF(OR(AJ28="АВС",AJ28="А"),TRUNC((AK28-AK28*6/100)/10,0)*10,"-")</f>
        <v>10710</v>
      </c>
      <c r="W28" s="663"/>
      <c r="X28" s="663">
        <f>IF(OR(AJ28="АВС",AJ28="В"),TRUNC((AK28-AK28*9/100)/10,0)*10,"-")</f>
        <v>10370</v>
      </c>
      <c r="Y28" s="663"/>
      <c r="Z28" s="663">
        <f>IF(OR(AJ28="АВС",AJ28="С"),TRUNC((AK28+AK28*4/100)/10,0)*10,"-")</f>
        <v>11850</v>
      </c>
      <c r="AA28" s="663"/>
      <c r="AB28" s="663" t="s">
        <v>452</v>
      </c>
      <c r="AC28" s="663"/>
      <c r="AD28" s="663" t="s">
        <v>452</v>
      </c>
      <c r="AE28" s="663"/>
      <c r="AF28" s="663" t="s">
        <v>452</v>
      </c>
      <c r="AG28" s="663"/>
      <c r="AH28" s="548" t="s">
        <v>452</v>
      </c>
      <c r="AI28" s="548"/>
      <c r="AJ28" s="149" t="s">
        <v>440</v>
      </c>
      <c r="AK28" s="150">
        <v>11400</v>
      </c>
    </row>
    <row r="29" spans="1:42" s="134" customFormat="1" ht="20.100000000000001" customHeight="1">
      <c r="A29" s="73" t="s">
        <v>285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87"/>
      <c r="AK29" s="87"/>
      <c r="AL29" s="35"/>
      <c r="AN29"/>
      <c r="AO29"/>
    </row>
    <row r="30" spans="1:42" s="148" customFormat="1" ht="30" customHeight="1">
      <c r="A30" s="135">
        <v>4</v>
      </c>
      <c r="B30" s="545" t="s">
        <v>280</v>
      </c>
      <c r="C30" s="546"/>
      <c r="D30" s="147" t="str">
        <f>IF(AJ30="АВС","~380В","~220В")</f>
        <v>~380В</v>
      </c>
      <c r="E30" s="545" t="s">
        <v>281</v>
      </c>
      <c r="F30" s="546"/>
      <c r="G30" s="250" t="str">
        <f>IF(OR(E30="ПВС",E30="ПУНП",E30="ПУГНП",E30="ШВВП"),"*"," ")</f>
        <v xml:space="preserve"> </v>
      </c>
      <c r="H30" s="249" t="s">
        <v>282</v>
      </c>
      <c r="I30" s="147">
        <v>185</v>
      </c>
      <c r="J30" s="548">
        <f>IF(I30&gt;16,2500,1000)</f>
        <v>2500</v>
      </c>
      <c r="K30" s="546"/>
      <c r="L30" s="547"/>
      <c r="M30" s="548">
        <v>0.5</v>
      </c>
      <c r="N30" s="548"/>
      <c r="O30" s="548"/>
      <c r="P30" s="663">
        <f>IF(AJ30="АВС",TRUNC((AK30+AK30*15/100)/10,0)*10,"-")</f>
        <v>17480</v>
      </c>
      <c r="Q30" s="663"/>
      <c r="R30" s="672">
        <f>IF(AJ30="АВС",TRUNC((AK30-AK30*10/100)/10,0)*10,"-")</f>
        <v>13680</v>
      </c>
      <c r="S30" s="673"/>
      <c r="T30" s="663">
        <f>IF(AJ30="АВС",TRUNC((AK30+AK30*8/100)/10,0)*10,"-")</f>
        <v>16410</v>
      </c>
      <c r="U30" s="663"/>
      <c r="V30" s="663">
        <f>IF(OR(AJ30="АВС",AJ30="А"),TRUNC((AK30-AK30*6/100)/10,0)*10,"-")</f>
        <v>14280</v>
      </c>
      <c r="W30" s="663"/>
      <c r="X30" s="663">
        <f>IF(OR(AJ30="АВС",AJ30="В"),TRUNC((AK30-AK30*9/100)/10,0)*10,"-")</f>
        <v>13830</v>
      </c>
      <c r="Y30" s="663"/>
      <c r="Z30" s="663">
        <f>IF(OR(AJ30="АВС",AJ30="С"),TRUNC((AK30+AK30*4/100)/10,0)*10,"-")</f>
        <v>15800</v>
      </c>
      <c r="AA30" s="663"/>
      <c r="AB30" s="663" t="s">
        <v>452</v>
      </c>
      <c r="AC30" s="663"/>
      <c r="AD30" s="663" t="s">
        <v>452</v>
      </c>
      <c r="AE30" s="663"/>
      <c r="AF30" s="663" t="s">
        <v>452</v>
      </c>
      <c r="AG30" s="663"/>
      <c r="AH30" s="548" t="s">
        <v>452</v>
      </c>
      <c r="AI30" s="548"/>
      <c r="AJ30" s="149" t="s">
        <v>440</v>
      </c>
      <c r="AK30" s="150">
        <v>15200</v>
      </c>
    </row>
    <row r="31" spans="1:42" s="134" customFormat="1" ht="20.100000000000001" customHeight="1">
      <c r="A31" s="73" t="s">
        <v>286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  <c r="AJ31" s="87"/>
      <c r="AK31" s="87"/>
      <c r="AL31" s="35"/>
      <c r="AN31"/>
      <c r="AO31"/>
    </row>
    <row r="32" spans="1:42" s="148" customFormat="1" ht="30" customHeight="1">
      <c r="A32" s="135">
        <v>5</v>
      </c>
      <c r="B32" s="545" t="s">
        <v>287</v>
      </c>
      <c r="C32" s="546"/>
      <c r="D32" s="147" t="str">
        <f>IF(AJ32="АВС","~380В","~220В")</f>
        <v>~380В</v>
      </c>
      <c r="E32" s="545" t="s">
        <v>281</v>
      </c>
      <c r="F32" s="546"/>
      <c r="G32" s="250" t="str">
        <f>IF(OR(E32="ПВС",E32="ПУНП",E32="ПУГНП",E32="ШВВП"),"*"," ")</f>
        <v xml:space="preserve"> </v>
      </c>
      <c r="H32" s="249" t="s">
        <v>282</v>
      </c>
      <c r="I32" s="147">
        <v>120</v>
      </c>
      <c r="J32" s="548">
        <f>IF(I32&gt;16,2500,1000)</f>
        <v>2500</v>
      </c>
      <c r="K32" s="546"/>
      <c r="L32" s="547"/>
      <c r="M32" s="548">
        <v>0.5</v>
      </c>
      <c r="N32" s="548"/>
      <c r="O32" s="548"/>
      <c r="P32" s="663">
        <f>IF(AJ32="АВС",TRUNC((AK32+AK32*15/100)/10,0)*10,"-")</f>
        <v>14310</v>
      </c>
      <c r="Q32" s="663"/>
      <c r="R32" s="672">
        <f>IF(AJ32="АВС",TRUNC((AK32-AK32*10/100)/10,0)*10,"-")</f>
        <v>11200</v>
      </c>
      <c r="S32" s="673"/>
      <c r="T32" s="663">
        <f>IF(AJ32="АВС",TRUNC((AK32+AK32*8/100)/10,0)*10,"-")</f>
        <v>13440</v>
      </c>
      <c r="U32" s="663"/>
      <c r="V32" s="663">
        <f>IF(OR(AJ32="АВС",AJ32="А"),TRUNC((AK32-AK32*6/100)/10,0)*10,"-")</f>
        <v>11700</v>
      </c>
      <c r="W32" s="663"/>
      <c r="X32" s="663">
        <f>IF(OR(AJ32="АВС",AJ32="В"),TRUNC((AK32-AK32*9/100)/10,0)*10,"-")</f>
        <v>11320</v>
      </c>
      <c r="Y32" s="663"/>
      <c r="Z32" s="663">
        <f>IF(OR(AJ32="АВС",AJ32="С"),TRUNC((AK32+AK32*4/100)/10,0)*10,"-")</f>
        <v>12940</v>
      </c>
      <c r="AA32" s="663"/>
      <c r="AB32" s="663" t="s">
        <v>452</v>
      </c>
      <c r="AC32" s="663"/>
      <c r="AD32" s="663" t="s">
        <v>452</v>
      </c>
      <c r="AE32" s="663"/>
      <c r="AF32" s="663" t="s">
        <v>452</v>
      </c>
      <c r="AG32" s="663"/>
      <c r="AH32" s="548" t="s">
        <v>452</v>
      </c>
      <c r="AI32" s="548"/>
      <c r="AJ32" s="149" t="s">
        <v>440</v>
      </c>
      <c r="AK32" s="150">
        <v>12450</v>
      </c>
    </row>
    <row r="33" spans="1:41" s="134" customFormat="1" ht="20.100000000000001" customHeight="1">
      <c r="A33" s="73" t="s">
        <v>288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87"/>
      <c r="AK33" s="87"/>
      <c r="AL33" s="35"/>
      <c r="AN33"/>
      <c r="AO33"/>
    </row>
    <row r="34" spans="1:41" s="148" customFormat="1" ht="30" customHeight="1">
      <c r="A34" s="135">
        <v>6</v>
      </c>
      <c r="B34" s="545" t="s">
        <v>287</v>
      </c>
      <c r="C34" s="546"/>
      <c r="D34" s="147" t="str">
        <f>IF(AJ34="АВС","~380В","~220В")</f>
        <v>~380В</v>
      </c>
      <c r="E34" s="545" t="s">
        <v>281</v>
      </c>
      <c r="F34" s="546"/>
      <c r="G34" s="250" t="str">
        <f>IF(OR(E34="ПВС",E34="ПУНП",E34="ПУГНП",E34="ШВВП"),"*"," ")</f>
        <v xml:space="preserve"> </v>
      </c>
      <c r="H34" s="249" t="s">
        <v>282</v>
      </c>
      <c r="I34" s="147">
        <v>120</v>
      </c>
      <c r="J34" s="548">
        <f>IF(I34&gt;16,2500,1000)</f>
        <v>2500</v>
      </c>
      <c r="K34" s="546"/>
      <c r="L34" s="547"/>
      <c r="M34" s="548">
        <v>0.5</v>
      </c>
      <c r="N34" s="548"/>
      <c r="O34" s="548"/>
      <c r="P34" s="663">
        <f>IF(AJ34="АВС",TRUNC((AK34+AK34*15/100)/10,0)*10,"-")</f>
        <v>15520</v>
      </c>
      <c r="Q34" s="663"/>
      <c r="R34" s="672">
        <f>IF(AJ34="АВС",TRUNC((AK34-AK34*10/100)/10,0)*10,"-")</f>
        <v>12150</v>
      </c>
      <c r="S34" s="673"/>
      <c r="T34" s="663">
        <f>IF(AJ34="АВС",TRUNC((AK34+AK34*8/100)/10,0)*10,"-")</f>
        <v>14580</v>
      </c>
      <c r="U34" s="663"/>
      <c r="V34" s="663">
        <f>IF(OR(AJ34="АВС",AJ34="А"),TRUNC((AK34-AK34*6/100)/10,0)*10,"-")</f>
        <v>12690</v>
      </c>
      <c r="W34" s="663"/>
      <c r="X34" s="663">
        <f>IF(OR(AJ34="АВС",AJ34="В"),TRUNC((AK34-AK34*9/100)/10,0)*10,"-")</f>
        <v>12280</v>
      </c>
      <c r="Y34" s="663"/>
      <c r="Z34" s="663">
        <f>IF(OR(AJ34="АВС",AJ34="С"),TRUNC((AK34+AK34*4/100)/10,0)*10,"-")</f>
        <v>14040</v>
      </c>
      <c r="AA34" s="663"/>
      <c r="AB34" s="663" t="s">
        <v>452</v>
      </c>
      <c r="AC34" s="663"/>
      <c r="AD34" s="663" t="s">
        <v>452</v>
      </c>
      <c r="AE34" s="663"/>
      <c r="AF34" s="663" t="s">
        <v>452</v>
      </c>
      <c r="AG34" s="663"/>
      <c r="AH34" s="548" t="s">
        <v>452</v>
      </c>
      <c r="AI34" s="548"/>
      <c r="AJ34" s="149" t="s">
        <v>440</v>
      </c>
      <c r="AK34" s="150">
        <v>13500</v>
      </c>
    </row>
    <row r="35" spans="1:41" s="134" customFormat="1" ht="20.100000000000001" customHeight="1">
      <c r="A35" s="73" t="s">
        <v>289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87"/>
      <c r="AK35" s="87"/>
      <c r="AL35" s="35"/>
      <c r="AN35"/>
      <c r="AO35"/>
    </row>
    <row r="36" spans="1:41" s="148" customFormat="1" ht="30" customHeight="1">
      <c r="A36" s="135">
        <v>7</v>
      </c>
      <c r="B36" s="545" t="s">
        <v>290</v>
      </c>
      <c r="C36" s="546"/>
      <c r="D36" s="147" t="str">
        <f>IF(AJ36="АВС","~380В","~220В")</f>
        <v>~380В</v>
      </c>
      <c r="E36" s="545" t="s">
        <v>281</v>
      </c>
      <c r="F36" s="546"/>
      <c r="G36" s="250" t="str">
        <f>IF(OR(E36="ПВС",E36="ПУНП",E36="ПУГНП",E36="ШВВП"),"*"," ")</f>
        <v xml:space="preserve"> </v>
      </c>
      <c r="H36" s="249" t="s">
        <v>282</v>
      </c>
      <c r="I36" s="147">
        <v>240</v>
      </c>
      <c r="J36" s="548">
        <f>IF(I36&gt;16,2500,1000)</f>
        <v>2500</v>
      </c>
      <c r="K36" s="546"/>
      <c r="L36" s="547"/>
      <c r="M36" s="548">
        <v>0.5</v>
      </c>
      <c r="N36" s="548"/>
      <c r="O36" s="548"/>
      <c r="P36" s="663">
        <f>IF(AJ36="АВС",TRUNC((AK36+AK36*15/100)/10,0)*10,"-")</f>
        <v>14950</v>
      </c>
      <c r="Q36" s="663"/>
      <c r="R36" s="672">
        <f>IF(AJ36="АВС",TRUNC((AK36-AK36*10/100)/10,0)*10,"-")</f>
        <v>11700</v>
      </c>
      <c r="S36" s="673"/>
      <c r="T36" s="663">
        <f>IF(AJ36="АВС",TRUNC((AK36+AK36*8/100)/10,0)*10,"-")</f>
        <v>14040</v>
      </c>
      <c r="U36" s="663"/>
      <c r="V36" s="663">
        <f>IF(OR(AJ36="АВС",AJ36="А"),TRUNC((AK36-AK36*6/100)/10,0)*10,"-")</f>
        <v>12220</v>
      </c>
      <c r="W36" s="663"/>
      <c r="X36" s="663">
        <f>IF(OR(AJ36="АВС",AJ36="В"),TRUNC((AK36-AK36*9/100)/10,0)*10,"-")</f>
        <v>11830</v>
      </c>
      <c r="Y36" s="663"/>
      <c r="Z36" s="663">
        <f>IF(OR(AJ36="АВС",AJ36="С"),TRUNC((AK36+AK36*4/100)/10,0)*10,"-")</f>
        <v>13520</v>
      </c>
      <c r="AA36" s="663"/>
      <c r="AB36" s="663" t="s">
        <v>452</v>
      </c>
      <c r="AC36" s="663"/>
      <c r="AD36" s="663" t="s">
        <v>452</v>
      </c>
      <c r="AE36" s="663"/>
      <c r="AF36" s="663" t="s">
        <v>452</v>
      </c>
      <c r="AG36" s="663"/>
      <c r="AH36" s="548" t="s">
        <v>452</v>
      </c>
      <c r="AI36" s="548"/>
      <c r="AJ36" s="149" t="s">
        <v>440</v>
      </c>
      <c r="AK36" s="150">
        <v>13000</v>
      </c>
    </row>
    <row r="37" spans="1:41" s="134" customFormat="1" ht="20.100000000000001" customHeight="1">
      <c r="A37" s="73" t="s">
        <v>291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  <c r="AJ37" s="87"/>
      <c r="AK37" s="87"/>
      <c r="AL37" s="35"/>
      <c r="AN37"/>
      <c r="AO37"/>
    </row>
    <row r="38" spans="1:41" s="148" customFormat="1" ht="30" customHeight="1">
      <c r="A38" s="135">
        <v>8</v>
      </c>
      <c r="B38" s="545" t="s">
        <v>290</v>
      </c>
      <c r="C38" s="546"/>
      <c r="D38" s="147" t="str">
        <f>IF(AJ38="АВС","~380В","~220В")</f>
        <v>~380В</v>
      </c>
      <c r="E38" s="545" t="s">
        <v>281</v>
      </c>
      <c r="F38" s="546"/>
      <c r="G38" s="250" t="str">
        <f>IF(OR(E38="ПВС",E38="ПУНП",E38="ПУГНП",E38="ШВВП"),"*"," ")</f>
        <v xml:space="preserve"> </v>
      </c>
      <c r="H38" s="249" t="s">
        <v>282</v>
      </c>
      <c r="I38" s="147">
        <v>240</v>
      </c>
      <c r="J38" s="548">
        <f>IF(I38&gt;16,2500,1000)</f>
        <v>2500</v>
      </c>
      <c r="K38" s="546"/>
      <c r="L38" s="547"/>
      <c r="M38" s="548">
        <v>0.5</v>
      </c>
      <c r="N38" s="548"/>
      <c r="O38" s="548"/>
      <c r="P38" s="663">
        <f>IF(AJ38="АВС",TRUNC((AK38+AK38*15/100)/10,0)*10,"-")</f>
        <v>16100</v>
      </c>
      <c r="Q38" s="663"/>
      <c r="R38" s="672">
        <f>IF(AJ38="АВС",TRUNC((AK38-AK38*10/100)/10,0)*10,"-")</f>
        <v>12600</v>
      </c>
      <c r="S38" s="673"/>
      <c r="T38" s="663">
        <f>IF(AJ38="АВС",TRUNC((AK38+AK38*8/100)/10,0)*10,"-")</f>
        <v>15120</v>
      </c>
      <c r="U38" s="663"/>
      <c r="V38" s="663">
        <f>IF(OR(AJ38="АВС",AJ38="А"),TRUNC((AK38-AK38*6/100)/10,0)*10,"-")</f>
        <v>13160</v>
      </c>
      <c r="W38" s="663"/>
      <c r="X38" s="663">
        <f>IF(OR(AJ38="АВС",AJ38="В"),TRUNC((AK38-AK38*9/100)/10,0)*10,"-")</f>
        <v>12740</v>
      </c>
      <c r="Y38" s="663"/>
      <c r="Z38" s="663">
        <f>IF(OR(AJ38="АВС",AJ38="С"),TRUNC((AK38+AK38*4/100)/10,0)*10,"-")</f>
        <v>14560</v>
      </c>
      <c r="AA38" s="663"/>
      <c r="AB38" s="663" t="s">
        <v>452</v>
      </c>
      <c r="AC38" s="663"/>
      <c r="AD38" s="663" t="s">
        <v>452</v>
      </c>
      <c r="AE38" s="663"/>
      <c r="AF38" s="663" t="s">
        <v>452</v>
      </c>
      <c r="AG38" s="663"/>
      <c r="AH38" s="548" t="s">
        <v>452</v>
      </c>
      <c r="AI38" s="548"/>
      <c r="AJ38" s="149" t="s">
        <v>440</v>
      </c>
      <c r="AK38" s="150">
        <v>14000</v>
      </c>
    </row>
    <row r="39" spans="1:41" s="134" customFormat="1" ht="20.100000000000001" customHeight="1">
      <c r="A39" s="73" t="s">
        <v>292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  <c r="AJ39" s="87"/>
      <c r="AK39" s="87"/>
      <c r="AL39" s="35"/>
      <c r="AN39"/>
      <c r="AO39"/>
    </row>
    <row r="40" spans="1:41" s="148" customFormat="1" ht="30" customHeight="1">
      <c r="A40" s="135">
        <v>9</v>
      </c>
      <c r="B40" s="545" t="s">
        <v>293</v>
      </c>
      <c r="C40" s="546"/>
      <c r="D40" s="147" t="str">
        <f>IF(AJ40="АВС","~380В","~220В")</f>
        <v>~380В</v>
      </c>
      <c r="E40" s="545" t="s">
        <v>281</v>
      </c>
      <c r="F40" s="546"/>
      <c r="G40" s="250" t="str">
        <f>IF(OR(E40="ПВС",E40="ПУНП",E40="ПУГНП",E40="ШВВП"),"*"," ")</f>
        <v xml:space="preserve"> </v>
      </c>
      <c r="H40" s="249" t="s">
        <v>282</v>
      </c>
      <c r="I40" s="147">
        <v>150</v>
      </c>
      <c r="J40" s="548">
        <f>IF(I40&gt;16,2500,1000)</f>
        <v>2500</v>
      </c>
      <c r="K40" s="546"/>
      <c r="L40" s="547"/>
      <c r="M40" s="548">
        <v>0.5</v>
      </c>
      <c r="N40" s="548"/>
      <c r="O40" s="548"/>
      <c r="P40" s="663">
        <f>IF(AJ40="АВС",TRUNC((AK40+AK40*15/100)/10,0)*10,"-")</f>
        <v>13160</v>
      </c>
      <c r="Q40" s="663"/>
      <c r="R40" s="672">
        <f>IF(AJ40="АВС",TRUNC((AK40-AK40*10/100)/10,0)*10,"-")</f>
        <v>10300</v>
      </c>
      <c r="S40" s="673"/>
      <c r="T40" s="663">
        <f>IF(AJ40="АВС",TRUNC((AK40+AK40*8/100)/10,0)*10,"-")</f>
        <v>12360</v>
      </c>
      <c r="U40" s="663"/>
      <c r="V40" s="663">
        <f>IF(OR(AJ40="АВС",AJ40="А"),TRUNC((AK40-AK40*6/100)/10,0)*10,"-")</f>
        <v>10760</v>
      </c>
      <c r="W40" s="663"/>
      <c r="X40" s="663">
        <f>IF(OR(AJ40="АВС",AJ40="В"),TRUNC((AK40-AK40*9/100)/10,0)*10,"-")</f>
        <v>10410</v>
      </c>
      <c r="Y40" s="663"/>
      <c r="Z40" s="663">
        <f>IF(OR(AJ40="АВС",AJ40="С"),TRUNC((AK40+AK40*4/100)/10,0)*10,"-")</f>
        <v>11900</v>
      </c>
      <c r="AA40" s="663"/>
      <c r="AB40" s="663" t="s">
        <v>452</v>
      </c>
      <c r="AC40" s="663"/>
      <c r="AD40" s="663" t="s">
        <v>452</v>
      </c>
      <c r="AE40" s="663"/>
      <c r="AF40" s="663" t="s">
        <v>452</v>
      </c>
      <c r="AG40" s="663"/>
      <c r="AH40" s="548" t="s">
        <v>452</v>
      </c>
      <c r="AI40" s="548"/>
      <c r="AJ40" s="149" t="s">
        <v>440</v>
      </c>
      <c r="AK40" s="150">
        <v>11450</v>
      </c>
    </row>
    <row r="41" spans="1:41" s="134" customFormat="1" ht="20.100000000000001" customHeight="1">
      <c r="A41" s="73" t="s">
        <v>294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87"/>
      <c r="AK41" s="87"/>
      <c r="AL41" s="35"/>
      <c r="AN41"/>
      <c r="AO41"/>
    </row>
    <row r="42" spans="1:41" s="148" customFormat="1" ht="30" customHeight="1">
      <c r="A42" s="135">
        <v>10</v>
      </c>
      <c r="B42" s="545" t="s">
        <v>293</v>
      </c>
      <c r="C42" s="546"/>
      <c r="D42" s="147" t="str">
        <f>IF(AJ42="АВС","~380В","~220В")</f>
        <v>~380В</v>
      </c>
      <c r="E42" s="545" t="s">
        <v>281</v>
      </c>
      <c r="F42" s="546"/>
      <c r="G42" s="250" t="str">
        <f>IF(OR(E42="ПВС",E42="ПУНП",E42="ПУГНП",E42="ШВВП"),"*"," ")</f>
        <v xml:space="preserve"> </v>
      </c>
      <c r="H42" s="249" t="s">
        <v>282</v>
      </c>
      <c r="I42" s="147">
        <v>150</v>
      </c>
      <c r="J42" s="548">
        <f>IF(I42&gt;16,2500,1000)</f>
        <v>2500</v>
      </c>
      <c r="K42" s="546"/>
      <c r="L42" s="547"/>
      <c r="M42" s="548">
        <v>0.5</v>
      </c>
      <c r="N42" s="548"/>
      <c r="O42" s="548"/>
      <c r="P42" s="663">
        <f>IF(AJ42="АВС",TRUNC((AK42+AK42*15/100)/10,0)*10,"-")</f>
        <v>14490</v>
      </c>
      <c r="Q42" s="663"/>
      <c r="R42" s="672">
        <f>IF(AJ42="АВС",TRUNC((AK42-AK42*10/100)/10,0)*10,"-")</f>
        <v>11340</v>
      </c>
      <c r="S42" s="673"/>
      <c r="T42" s="663">
        <f>IF(AJ42="АВС",TRUNC((AK42+AK42*8/100)/10,0)*10,"-")</f>
        <v>13600</v>
      </c>
      <c r="U42" s="663"/>
      <c r="V42" s="663">
        <f>IF(OR(AJ42="АВС",AJ42="А"),TRUNC((AK42-AK42*6/100)/10,0)*10,"-")</f>
        <v>11840</v>
      </c>
      <c r="W42" s="663"/>
      <c r="X42" s="663">
        <f>IF(OR(AJ42="АВС",AJ42="В"),TRUNC((AK42-AK42*9/100)/10,0)*10,"-")</f>
        <v>11460</v>
      </c>
      <c r="Y42" s="663"/>
      <c r="Z42" s="663">
        <f>IF(OR(AJ42="АВС",AJ42="С"),TRUNC((AK42+AK42*4/100)/10,0)*10,"-")</f>
        <v>13100</v>
      </c>
      <c r="AA42" s="663"/>
      <c r="AB42" s="663" t="s">
        <v>452</v>
      </c>
      <c r="AC42" s="663"/>
      <c r="AD42" s="663" t="s">
        <v>452</v>
      </c>
      <c r="AE42" s="663"/>
      <c r="AF42" s="663" t="s">
        <v>452</v>
      </c>
      <c r="AG42" s="663"/>
      <c r="AH42" s="548" t="s">
        <v>452</v>
      </c>
      <c r="AI42" s="548"/>
      <c r="AJ42" s="149" t="s">
        <v>440</v>
      </c>
      <c r="AK42" s="150">
        <v>12600</v>
      </c>
    </row>
    <row r="43" spans="1:41" s="148" customFormat="1" ht="30" customHeight="1">
      <c r="A43" s="135"/>
      <c r="B43" s="545"/>
      <c r="C43" s="546"/>
      <c r="D43" s="147"/>
      <c r="E43" s="545"/>
      <c r="F43" s="546"/>
      <c r="G43" s="250"/>
      <c r="H43" s="249"/>
      <c r="I43" s="147"/>
      <c r="J43" s="548"/>
      <c r="K43" s="546"/>
      <c r="L43" s="547"/>
      <c r="M43" s="548"/>
      <c r="N43" s="548"/>
      <c r="O43" s="548"/>
      <c r="P43" s="663"/>
      <c r="Q43" s="663"/>
      <c r="R43" s="672"/>
      <c r="S43" s="67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548"/>
      <c r="AI43" s="548"/>
      <c r="AJ43" s="149"/>
      <c r="AK43" s="150"/>
    </row>
    <row r="44" spans="1:41" s="148" customFormat="1" ht="20.100000000000001" customHeight="1">
      <c r="A44" s="173"/>
      <c r="B44" s="191"/>
      <c r="C44" s="191"/>
      <c r="D44" s="191"/>
      <c r="E44" s="173"/>
      <c r="F44" s="173"/>
      <c r="G44" s="328"/>
      <c r="H44" s="190"/>
      <c r="I44" s="191"/>
      <c r="J44" s="173"/>
      <c r="K44" s="173"/>
      <c r="L44" s="173"/>
      <c r="M44" s="173"/>
      <c r="N44" s="173"/>
      <c r="O44" s="173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73"/>
      <c r="AI44" s="173"/>
      <c r="AJ44" s="173"/>
    </row>
    <row r="45" spans="1:41" s="148" customFormat="1" ht="4.5" customHeight="1">
      <c r="A45" s="173"/>
      <c r="B45" s="191"/>
      <c r="C45" s="191"/>
      <c r="D45" s="191"/>
      <c r="E45" s="173"/>
      <c r="F45" s="173"/>
      <c r="G45" s="328"/>
      <c r="H45" s="190"/>
      <c r="I45" s="191"/>
      <c r="J45" s="173"/>
      <c r="K45" s="173"/>
      <c r="L45" s="173"/>
      <c r="M45" s="173"/>
      <c r="N45" s="173"/>
      <c r="O45" s="173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73"/>
      <c r="AI45" s="173"/>
      <c r="AJ45" s="173"/>
    </row>
    <row r="46" spans="1:41" ht="21.75" customHeight="1">
      <c r="A46" s="696" t="s">
        <v>841</v>
      </c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AJ46" s="134"/>
      <c r="AK46" s="144"/>
      <c r="AL46"/>
    </row>
    <row r="47" spans="1:41" ht="27" customHeight="1">
      <c r="A47" s="460" t="s">
        <v>540</v>
      </c>
      <c r="B47" s="453" t="s">
        <v>541</v>
      </c>
      <c r="C47" s="454"/>
      <c r="D47" s="453" t="s">
        <v>911</v>
      </c>
      <c r="E47" s="680"/>
      <c r="F47" s="680"/>
      <c r="G47" s="454"/>
      <c r="H47" s="457" t="s">
        <v>544</v>
      </c>
      <c r="I47" s="459"/>
      <c r="J47" s="459"/>
      <c r="K47" s="459"/>
      <c r="L47" s="459"/>
      <c r="M47" s="459"/>
      <c r="N47" s="459"/>
      <c r="O47" s="458"/>
      <c r="P47" s="457" t="s">
        <v>545</v>
      </c>
      <c r="Q47" s="459"/>
      <c r="R47" s="459"/>
      <c r="S47" s="459"/>
      <c r="T47" s="459"/>
      <c r="U47" s="459"/>
      <c r="V47" s="459"/>
      <c r="W47" s="458"/>
      <c r="X47" s="453" t="s">
        <v>546</v>
      </c>
      <c r="Y47" s="680"/>
      <c r="Z47" s="680"/>
      <c r="AA47" s="680"/>
      <c r="AB47" s="454"/>
      <c r="AC47" s="679" t="s">
        <v>912</v>
      </c>
      <c r="AD47" s="679"/>
      <c r="AE47" s="679"/>
      <c r="AF47" s="679"/>
      <c r="AG47" s="679"/>
      <c r="AH47" s="679"/>
      <c r="AI47" s="679"/>
      <c r="AJ47" s="137"/>
      <c r="AL47"/>
    </row>
    <row r="48" spans="1:41" ht="30" customHeight="1">
      <c r="A48" s="461"/>
      <c r="B48" s="455"/>
      <c r="C48" s="456"/>
      <c r="D48" s="455"/>
      <c r="E48" s="681"/>
      <c r="F48" s="681"/>
      <c r="G48" s="456"/>
      <c r="H48" s="457" t="s">
        <v>548</v>
      </c>
      <c r="I48" s="459"/>
      <c r="J48" s="459"/>
      <c r="K48" s="458"/>
      <c r="L48" s="457" t="s">
        <v>549</v>
      </c>
      <c r="M48" s="459"/>
      <c r="N48" s="459"/>
      <c r="O48" s="458"/>
      <c r="P48" s="457" t="s">
        <v>550</v>
      </c>
      <c r="Q48" s="459"/>
      <c r="R48" s="459"/>
      <c r="S48" s="458"/>
      <c r="T48" s="457" t="s">
        <v>551</v>
      </c>
      <c r="U48" s="459"/>
      <c r="V48" s="459"/>
      <c r="W48" s="458"/>
      <c r="X48" s="455"/>
      <c r="Y48" s="681"/>
      <c r="Z48" s="681"/>
      <c r="AA48" s="681"/>
      <c r="AB48" s="456"/>
      <c r="AC48" s="679"/>
      <c r="AD48" s="679"/>
      <c r="AE48" s="679"/>
      <c r="AF48" s="679"/>
      <c r="AG48" s="679"/>
      <c r="AH48" s="679"/>
      <c r="AI48" s="679"/>
      <c r="AJ48" s="137"/>
      <c r="AL48"/>
    </row>
    <row r="49" spans="1:38" ht="39.950000000000003" customHeight="1">
      <c r="A49" s="56">
        <v>1</v>
      </c>
      <c r="B49" s="457" t="str">
        <f ca="1">'Исходник '!B56</f>
        <v>MPI-520</v>
      </c>
      <c r="C49" s="458"/>
      <c r="D49" s="457">
        <f ca="1">'Исходник '!C56</f>
        <v>723895</v>
      </c>
      <c r="E49" s="459"/>
      <c r="F49" s="459"/>
      <c r="G49" s="458"/>
      <c r="H49" s="457" t="str">
        <f ca="1">'Исходник '!F57</f>
        <v>0…3 ГОм (1 кОм)</v>
      </c>
      <c r="I49" s="459"/>
      <c r="J49" s="459"/>
      <c r="K49" s="458"/>
      <c r="L49" s="741" t="str">
        <f ca="1">'Исходник '!H57</f>
        <v>± (3% Riso+8 е.м.р.)</v>
      </c>
      <c r="M49" s="459"/>
      <c r="N49" s="459"/>
      <c r="O49" s="458"/>
      <c r="P49" s="487">
        <f ca="1">'Исходник '!J56</f>
        <v>43530</v>
      </c>
      <c r="Q49" s="678"/>
      <c r="R49" s="678"/>
      <c r="S49" s="488"/>
      <c r="T49" s="487">
        <f ca="1">'Исходник '!L56</f>
        <v>43895</v>
      </c>
      <c r="U49" s="678"/>
      <c r="V49" s="678"/>
      <c r="W49" s="488"/>
      <c r="X49" s="457" t="str">
        <f ca="1">'Исходник '!N56</f>
        <v>№18182-А</v>
      </c>
      <c r="Y49" s="459"/>
      <c r="Z49" s="459"/>
      <c r="AA49" s="459"/>
      <c r="AB49" s="458"/>
      <c r="AC49" s="679" t="str">
        <f ca="1">'Исходник '!P56</f>
        <v>ООО "СОНЕЛ"</v>
      </c>
      <c r="AD49" s="679"/>
      <c r="AE49" s="679"/>
      <c r="AF49" s="679"/>
      <c r="AG49" s="679"/>
      <c r="AH49" s="679"/>
      <c r="AI49" s="679"/>
      <c r="AJ49" s="137"/>
      <c r="AL49"/>
    </row>
    <row r="50" spans="1:38" ht="39.950000000000003" customHeight="1">
      <c r="A50" s="56">
        <v>2</v>
      </c>
      <c r="B50" s="457" t="str">
        <f ca="1">'Исходник '!B61</f>
        <v>ИВТМ-7</v>
      </c>
      <c r="C50" s="458"/>
      <c r="D50" s="457">
        <f ca="1">'Исходник '!C61</f>
        <v>20084</v>
      </c>
      <c r="E50" s="459"/>
      <c r="F50" s="459"/>
      <c r="G50" s="458"/>
      <c r="H50" s="457" t="str">
        <f ca="1">'Исходник '!F61</f>
        <v>0-99 %
-20 +60 0С</v>
      </c>
      <c r="I50" s="459"/>
      <c r="J50" s="459"/>
      <c r="K50" s="458"/>
      <c r="L50" s="457" t="str">
        <f ca="1">'Исходник '!H61</f>
        <v>± 2%
± 0,2 0С</v>
      </c>
      <c r="M50" s="459"/>
      <c r="N50" s="459"/>
      <c r="O50" s="458"/>
      <c r="P50" s="487">
        <f ca="1">'Исходник '!J61</f>
        <v>43517</v>
      </c>
      <c r="Q50" s="678"/>
      <c r="R50" s="678"/>
      <c r="S50" s="488"/>
      <c r="T50" s="487" t="str">
        <f ca="1">'Исходник '!L61</f>
        <v>21.02.2020.</v>
      </c>
      <c r="U50" s="678"/>
      <c r="V50" s="678"/>
      <c r="W50" s="488"/>
      <c r="X50" s="487" t="str">
        <f ca="1">'Исходник '!N61</f>
        <v>№197</v>
      </c>
      <c r="Y50" s="678"/>
      <c r="Z50" s="678"/>
      <c r="AA50" s="678"/>
      <c r="AB50" s="488"/>
      <c r="AC50" s="679" t="str">
        <f ca="1">'Исходник '!P61</f>
        <v>ООО НПК "АВИАПРИБОР"</v>
      </c>
      <c r="AD50" s="679"/>
      <c r="AE50" s="679"/>
      <c r="AF50" s="679"/>
      <c r="AG50" s="679"/>
      <c r="AH50" s="679"/>
      <c r="AI50" s="679"/>
      <c r="AJ50" s="137"/>
      <c r="AL50"/>
    </row>
    <row r="51" spans="1:38" ht="39.950000000000003" customHeight="1">
      <c r="A51" s="56">
        <v>3</v>
      </c>
      <c r="B51" s="457" t="str">
        <f ca="1">'Исходник '!B62</f>
        <v>Барометр М 67</v>
      </c>
      <c r="C51" s="458"/>
      <c r="D51" s="457">
        <f ca="1">'Исходник '!C62</f>
        <v>74</v>
      </c>
      <c r="E51" s="459"/>
      <c r="F51" s="459"/>
      <c r="G51" s="458"/>
      <c r="H51" s="457" t="str">
        <f ca="1">'Исходник '!F62</f>
        <v>610-790
 мм.рт.ст</v>
      </c>
      <c r="I51" s="459"/>
      <c r="J51" s="459"/>
      <c r="K51" s="458"/>
      <c r="L51" s="457" t="str">
        <f ca="1">'Исходник '!H62</f>
        <v>± 0,8 мм.рт.ст.</v>
      </c>
      <c r="M51" s="459"/>
      <c r="N51" s="459"/>
      <c r="O51" s="458"/>
      <c r="P51" s="487">
        <f ca="1">'Исходник '!J62</f>
        <v>43517</v>
      </c>
      <c r="Q51" s="678"/>
      <c r="R51" s="678"/>
      <c r="S51" s="488"/>
      <c r="T51" s="487" t="str">
        <f ca="1">'Исходник '!L62</f>
        <v>21.02.2020.</v>
      </c>
      <c r="U51" s="678"/>
      <c r="V51" s="678"/>
      <c r="W51" s="488"/>
      <c r="X51" s="457" t="str">
        <f ca="1">'Исходник '!N62</f>
        <v>№200</v>
      </c>
      <c r="Y51" s="459"/>
      <c r="Z51" s="459"/>
      <c r="AA51" s="459"/>
      <c r="AB51" s="458"/>
      <c r="AC51" s="679" t="str">
        <f ca="1">'Исходник '!P62</f>
        <v>ООО НПК "АВИАПРИБОР"</v>
      </c>
      <c r="AD51" s="679"/>
      <c r="AE51" s="679"/>
      <c r="AF51" s="679"/>
      <c r="AG51" s="679"/>
      <c r="AH51" s="679"/>
      <c r="AI51" s="679"/>
      <c r="AJ51" s="137"/>
      <c r="AL51"/>
    </row>
    <row r="52" spans="1:38" s="55" customFormat="1" ht="19.5" customHeight="1">
      <c r="A52" s="64" t="s">
        <v>913</v>
      </c>
      <c r="B52" s="285"/>
      <c r="C52" s="764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89"/>
      <c r="R52" s="689"/>
      <c r="S52" s="689"/>
      <c r="T52" s="689"/>
      <c r="U52" s="689"/>
      <c r="V52" s="689"/>
      <c r="W52" s="689"/>
      <c r="X52" s="689"/>
      <c r="Y52" s="689"/>
      <c r="Z52" s="689"/>
      <c r="AA52" s="689"/>
      <c r="AB52" s="689"/>
      <c r="AC52" s="689"/>
      <c r="AD52" s="689"/>
      <c r="AE52" s="689"/>
      <c r="AF52" s="689"/>
      <c r="AG52" s="689"/>
      <c r="AH52" s="689"/>
      <c r="AI52" s="689"/>
      <c r="AJ52" s="285"/>
      <c r="AK52" s="285"/>
    </row>
    <row r="53" spans="1:38" s="55" customFormat="1" ht="18" customHeight="1">
      <c r="A53" s="64" t="s">
        <v>789</v>
      </c>
      <c r="B53" s="64"/>
      <c r="C53" s="690" t="s">
        <v>295</v>
      </c>
      <c r="D53" s="690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0"/>
      <c r="X53" s="690"/>
      <c r="Y53" s="690"/>
      <c r="Z53" s="690"/>
      <c r="AA53" s="690"/>
      <c r="AB53" s="690"/>
      <c r="AC53" s="690"/>
      <c r="AD53" s="690"/>
      <c r="AE53" s="690"/>
      <c r="AF53" s="690"/>
      <c r="AG53" s="690"/>
      <c r="AH53" s="690"/>
      <c r="AI53" s="690"/>
      <c r="AJ53" s="285"/>
    </row>
    <row r="54" spans="1:38" ht="33.75" customHeight="1">
      <c r="A54" s="682" t="s">
        <v>790</v>
      </c>
      <c r="B54" s="682"/>
      <c r="C54" s="682"/>
      <c r="D54" s="632" t="s">
        <v>749</v>
      </c>
      <c r="E54" s="632"/>
      <c r="F54" s="632"/>
      <c r="G54" s="632"/>
      <c r="H54" s="632"/>
      <c r="I54" s="632"/>
      <c r="J54" s="632"/>
      <c r="N54" s="632"/>
      <c r="O54" s="632"/>
      <c r="P54" s="632"/>
      <c r="Q54" s="632"/>
      <c r="R54" s="632"/>
      <c r="S54" s="632"/>
      <c r="T54" s="632"/>
      <c r="X54" s="632" t="str">
        <f ca="1">'Исходник '!B12</f>
        <v>Евдокимов А.О.</v>
      </c>
      <c r="Y54" s="632"/>
      <c r="Z54" s="632"/>
      <c r="AA54" s="632"/>
      <c r="AB54" s="632"/>
      <c r="AC54" s="632"/>
      <c r="AD54" s="632"/>
      <c r="AE54" s="632"/>
      <c r="AF54" s="632"/>
      <c r="AJ54" s="137"/>
      <c r="AL54"/>
    </row>
    <row r="55" spans="1:38" ht="18" customHeight="1">
      <c r="A55" s="58"/>
      <c r="B55" s="58"/>
      <c r="C55" s="58"/>
      <c r="D55" s="607" t="s">
        <v>751</v>
      </c>
      <c r="E55" s="607"/>
      <c r="F55" s="607"/>
      <c r="G55" s="607"/>
      <c r="H55" s="607"/>
      <c r="I55" s="607"/>
      <c r="J55" s="607"/>
      <c r="K55" s="58"/>
      <c r="L55" s="58"/>
      <c r="M55" s="58"/>
      <c r="N55" s="607" t="s">
        <v>653</v>
      </c>
      <c r="O55" s="607"/>
      <c r="P55" s="607"/>
      <c r="Q55" s="607"/>
      <c r="R55" s="607"/>
      <c r="S55" s="607"/>
      <c r="T55" s="607"/>
      <c r="U55" s="58"/>
      <c r="V55" s="58"/>
      <c r="X55" s="607" t="s">
        <v>791</v>
      </c>
      <c r="Y55" s="607"/>
      <c r="Z55" s="607"/>
      <c r="AA55" s="607"/>
      <c r="AB55" s="607"/>
      <c r="AC55" s="607"/>
      <c r="AD55" s="607"/>
      <c r="AE55" s="607"/>
      <c r="AF55" s="607"/>
      <c r="AG55" s="58"/>
      <c r="AH55" s="58"/>
      <c r="AJ55" s="137"/>
      <c r="AL55"/>
    </row>
    <row r="56" spans="1:38" ht="18" customHeight="1">
      <c r="A56" s="23"/>
      <c r="B56" s="23"/>
      <c r="C56" s="23"/>
      <c r="D56" s="632" t="s">
        <v>792</v>
      </c>
      <c r="E56" s="632"/>
      <c r="F56" s="632"/>
      <c r="G56" s="632"/>
      <c r="H56" s="632"/>
      <c r="I56" s="632"/>
      <c r="J56" s="632"/>
      <c r="K56" s="57"/>
      <c r="L56" s="57"/>
      <c r="M56" s="57"/>
      <c r="N56" s="632"/>
      <c r="O56" s="632"/>
      <c r="P56" s="632"/>
      <c r="Q56" s="632"/>
      <c r="R56" s="632"/>
      <c r="S56" s="632"/>
      <c r="T56" s="632"/>
      <c r="U56" s="57"/>
      <c r="V56" s="57"/>
      <c r="W56" s="88"/>
      <c r="X56" s="632" t="str">
        <f ca="1">'Исходник '!B13</f>
        <v>Кокшаров С.В.</v>
      </c>
      <c r="Y56" s="632"/>
      <c r="Z56" s="632"/>
      <c r="AA56" s="632"/>
      <c r="AB56" s="632"/>
      <c r="AC56" s="632"/>
      <c r="AD56" s="632"/>
      <c r="AE56" s="632"/>
      <c r="AF56" s="632"/>
      <c r="AG56" s="57"/>
      <c r="AH56" s="57"/>
      <c r="AJ56" s="134"/>
      <c r="AL56"/>
    </row>
    <row r="57" spans="1:38" ht="18" customHeight="1">
      <c r="A57" s="24"/>
      <c r="B57" s="24"/>
      <c r="C57" s="24"/>
      <c r="D57" s="607" t="s">
        <v>751</v>
      </c>
      <c r="E57" s="607"/>
      <c r="F57" s="607"/>
      <c r="G57" s="607"/>
      <c r="H57" s="607"/>
      <c r="I57" s="607"/>
      <c r="J57" s="607"/>
      <c r="K57" s="58"/>
      <c r="L57" s="58"/>
      <c r="M57" s="58"/>
      <c r="N57" s="607" t="s">
        <v>653</v>
      </c>
      <c r="O57" s="607"/>
      <c r="P57" s="607"/>
      <c r="Q57" s="607"/>
      <c r="R57" s="607"/>
      <c r="S57" s="607"/>
      <c r="T57" s="607"/>
      <c r="U57" s="58"/>
      <c r="V57" s="58"/>
      <c r="W57" s="88"/>
      <c r="X57" s="607" t="s">
        <v>791</v>
      </c>
      <c r="Y57" s="607"/>
      <c r="Z57" s="607"/>
      <c r="AA57" s="607"/>
      <c r="AB57" s="607"/>
      <c r="AC57" s="607"/>
      <c r="AD57" s="607"/>
      <c r="AE57" s="607"/>
      <c r="AF57" s="607"/>
      <c r="AG57" s="65"/>
      <c r="AH57" s="65"/>
      <c r="AJ57" s="137"/>
      <c r="AL57"/>
    </row>
    <row r="58" spans="1:38" ht="18" customHeight="1">
      <c r="A58" s="682" t="s">
        <v>793</v>
      </c>
      <c r="B58" s="682"/>
      <c r="C58" s="682"/>
      <c r="D58" s="632" t="s">
        <v>749</v>
      </c>
      <c r="E58" s="632"/>
      <c r="F58" s="632"/>
      <c r="G58" s="632"/>
      <c r="H58" s="632"/>
      <c r="I58" s="632"/>
      <c r="J58" s="632"/>
      <c r="K58" s="57"/>
      <c r="L58" s="57"/>
      <c r="M58" s="57"/>
      <c r="N58" s="632"/>
      <c r="O58" s="632"/>
      <c r="P58" s="632"/>
      <c r="Q58" s="632"/>
      <c r="R58" s="632"/>
      <c r="S58" s="632"/>
      <c r="T58" s="632"/>
      <c r="U58" s="57"/>
      <c r="V58" s="57"/>
      <c r="W58" s="88"/>
      <c r="X58" s="632" t="str">
        <f ca="1">'Исходник '!B12</f>
        <v>Евдокимов А.О.</v>
      </c>
      <c r="Y58" s="632"/>
      <c r="Z58" s="632"/>
      <c r="AA58" s="632"/>
      <c r="AB58" s="632"/>
      <c r="AC58" s="632"/>
      <c r="AD58" s="632"/>
      <c r="AE58" s="632"/>
      <c r="AF58" s="632"/>
      <c r="AG58" s="57"/>
      <c r="AH58" s="57"/>
      <c r="AJ58" s="137"/>
      <c r="AL58"/>
    </row>
    <row r="59" spans="1:38" ht="18" customHeight="1">
      <c r="A59" s="58"/>
      <c r="B59" s="58"/>
      <c r="C59" s="58"/>
      <c r="D59" s="607" t="s">
        <v>751</v>
      </c>
      <c r="E59" s="607"/>
      <c r="F59" s="607"/>
      <c r="G59" s="607"/>
      <c r="H59" s="607"/>
      <c r="I59" s="607"/>
      <c r="J59" s="607"/>
      <c r="K59" s="58"/>
      <c r="L59" s="58"/>
      <c r="M59" s="58"/>
      <c r="N59" s="607" t="s">
        <v>653</v>
      </c>
      <c r="O59" s="607"/>
      <c r="P59" s="607"/>
      <c r="Q59" s="607"/>
      <c r="R59" s="607"/>
      <c r="S59" s="607"/>
      <c r="T59" s="607"/>
      <c r="U59" s="58"/>
      <c r="V59" s="58"/>
      <c r="X59" s="607" t="s">
        <v>791</v>
      </c>
      <c r="Y59" s="607"/>
      <c r="Z59" s="607"/>
      <c r="AA59" s="607"/>
      <c r="AB59" s="607"/>
      <c r="AC59" s="607"/>
      <c r="AD59" s="607"/>
      <c r="AE59" s="607"/>
      <c r="AF59" s="607"/>
      <c r="AG59" s="58"/>
      <c r="AH59" s="58"/>
      <c r="AJ59" s="137"/>
      <c r="AL59"/>
    </row>
    <row r="60" spans="1:38" s="89" customFormat="1" ht="12.95" customHeight="1">
      <c r="A60" s="683" t="s">
        <v>794</v>
      </c>
      <c r="B60" s="683"/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683"/>
      <c r="AB60" s="683"/>
      <c r="AC60" s="683"/>
      <c r="AD60" s="683"/>
      <c r="AE60" s="683"/>
      <c r="AF60" s="683"/>
      <c r="AG60" s="683"/>
      <c r="AH60" s="683"/>
      <c r="AI60" s="683"/>
      <c r="AJ60" s="134"/>
      <c r="AL60" s="90"/>
    </row>
    <row r="61" spans="1:38" s="27" customFormat="1" ht="12.95" customHeight="1">
      <c r="A61" s="683" t="s">
        <v>795</v>
      </c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  <c r="Z61" s="683"/>
      <c r="AA61" s="683"/>
      <c r="AB61" s="683"/>
      <c r="AC61" s="683"/>
      <c r="AD61" s="683"/>
      <c r="AE61" s="683"/>
      <c r="AF61" s="683"/>
      <c r="AG61" s="683"/>
      <c r="AH61" s="683"/>
      <c r="AI61" s="683"/>
      <c r="AJ61" s="137"/>
      <c r="AK61" s="89"/>
      <c r="AL61" s="37"/>
    </row>
    <row r="62" spans="1:38" ht="15" customHeight="1">
      <c r="A62" s="57"/>
      <c r="B62" s="57"/>
      <c r="C62" s="57"/>
      <c r="D62" s="57"/>
      <c r="AJ62" s="137"/>
    </row>
    <row r="63" spans="1:38" ht="12.75" customHeight="1">
      <c r="A63" s="65"/>
      <c r="B63" s="65"/>
      <c r="C63" s="65"/>
      <c r="D63" s="65"/>
      <c r="AJ63" s="137"/>
    </row>
    <row r="64" spans="1:38" ht="15" customHeight="1">
      <c r="P64" s="57"/>
      <c r="Q64" s="57"/>
      <c r="R64" s="57"/>
      <c r="S64" s="57"/>
      <c r="T64" s="57"/>
      <c r="U64" s="57"/>
      <c r="V64" s="57"/>
      <c r="W64" s="88"/>
      <c r="Z64" s="57"/>
      <c r="AA64" s="57"/>
      <c r="AB64" s="57"/>
      <c r="AC64" s="57"/>
      <c r="AD64" s="57"/>
      <c r="AE64" s="57"/>
      <c r="AF64" s="57"/>
      <c r="AG64" s="57"/>
      <c r="AH64" s="57"/>
      <c r="AJ64" s="137"/>
    </row>
    <row r="65" spans="16:36" ht="12.75" customHeight="1">
      <c r="P65" s="58"/>
      <c r="Q65" s="58"/>
      <c r="R65" s="58"/>
      <c r="S65" s="58"/>
      <c r="T65" s="58"/>
      <c r="U65" s="58"/>
      <c r="V65" s="58"/>
      <c r="Z65" s="58"/>
      <c r="AA65" s="58"/>
      <c r="AB65" s="58"/>
      <c r="AC65" s="58"/>
      <c r="AD65" s="58"/>
      <c r="AE65" s="58"/>
      <c r="AF65" s="58"/>
      <c r="AG65" s="58"/>
      <c r="AH65" s="58"/>
      <c r="AJ65" s="134"/>
    </row>
    <row r="66" spans="16:36">
      <c r="P66" s="57"/>
      <c r="Q66" s="57"/>
      <c r="R66" s="57"/>
      <c r="S66" s="57"/>
      <c r="T66" s="57"/>
      <c r="U66" s="57"/>
      <c r="V66" s="57"/>
      <c r="Z66" s="57"/>
      <c r="AA66" s="57"/>
      <c r="AB66" s="57"/>
      <c r="AC66" s="57"/>
      <c r="AD66" s="57"/>
      <c r="AE66" s="57"/>
      <c r="AF66" s="57"/>
      <c r="AG66" s="57"/>
      <c r="AH66" s="57"/>
      <c r="AJ66" s="137"/>
    </row>
    <row r="67" spans="16:36">
      <c r="AJ67" s="137"/>
    </row>
    <row r="68" spans="16:36">
      <c r="AJ68" s="137"/>
    </row>
    <row r="69" spans="16:36">
      <c r="AJ69" s="137"/>
    </row>
    <row r="70" spans="16:36">
      <c r="AJ70" s="137"/>
    </row>
    <row r="71" spans="16:36">
      <c r="AJ71" s="137"/>
    </row>
    <row r="72" spans="16:36">
      <c r="AJ72" s="137"/>
    </row>
    <row r="73" spans="16:36">
      <c r="AJ73" s="137"/>
    </row>
    <row r="74" spans="16:36">
      <c r="AJ74" s="137"/>
    </row>
    <row r="75" spans="16:36">
      <c r="AJ75" s="134"/>
    </row>
    <row r="76" spans="16:36">
      <c r="AJ76" s="137"/>
    </row>
    <row r="77" spans="16:36">
      <c r="AJ77" s="137"/>
    </row>
    <row r="78" spans="16:36">
      <c r="AJ78" s="137"/>
    </row>
    <row r="79" spans="16:36">
      <c r="AJ79" s="134"/>
    </row>
    <row r="80" spans="16:36">
      <c r="AJ80" s="137"/>
    </row>
    <row r="81" spans="36:36">
      <c r="AJ81" s="137"/>
    </row>
    <row r="82" spans="36:36">
      <c r="AJ82" s="137"/>
    </row>
    <row r="83" spans="36:36">
      <c r="AJ83" s="137"/>
    </row>
    <row r="84" spans="36:36">
      <c r="AJ84" s="137"/>
    </row>
    <row r="85" spans="36:36">
      <c r="AJ85" s="137"/>
    </row>
    <row r="86" spans="36:36">
      <c r="AJ86" s="134"/>
    </row>
    <row r="87" spans="36:36">
      <c r="AJ87" s="134"/>
    </row>
    <row r="88" spans="36:36">
      <c r="AJ88" s="137"/>
    </row>
    <row r="89" spans="36:36">
      <c r="AJ89" s="134"/>
    </row>
    <row r="90" spans="36:36">
      <c r="AJ90" s="137"/>
    </row>
    <row r="91" spans="36:36">
      <c r="AJ91" s="137"/>
    </row>
    <row r="92" spans="36:36">
      <c r="AJ92" s="137"/>
    </row>
    <row r="93" spans="36:36">
      <c r="AJ93" s="137"/>
    </row>
    <row r="94" spans="36:36">
      <c r="AJ94" s="137"/>
    </row>
    <row r="95" spans="36:36">
      <c r="AJ95" s="137"/>
    </row>
    <row r="96" spans="36:36">
      <c r="AJ96" s="137"/>
    </row>
    <row r="97" spans="36:36">
      <c r="AJ97" s="137"/>
    </row>
    <row r="98" spans="36:36">
      <c r="AJ98" s="134"/>
    </row>
    <row r="99" spans="36:36">
      <c r="AJ99" s="137"/>
    </row>
    <row r="100" spans="36:36">
      <c r="AJ100" s="137"/>
    </row>
    <row r="101" spans="36:36">
      <c r="AJ101" s="137"/>
    </row>
    <row r="102" spans="36:36">
      <c r="AJ102" s="137"/>
    </row>
    <row r="103" spans="36:36">
      <c r="AJ103" s="137"/>
    </row>
    <row r="104" spans="36:36">
      <c r="AJ104" s="137"/>
    </row>
    <row r="105" spans="36:36">
      <c r="AJ105" s="134"/>
    </row>
    <row r="106" spans="36:36">
      <c r="AJ106" s="134"/>
    </row>
    <row r="107" spans="36:36">
      <c r="AJ107" s="137"/>
    </row>
    <row r="108" spans="36:36">
      <c r="AJ108" s="137"/>
    </row>
    <row r="109" spans="36:36">
      <c r="AJ109" s="137"/>
    </row>
    <row r="110" spans="36:36">
      <c r="AJ110" s="137"/>
    </row>
    <row r="111" spans="36:36">
      <c r="AJ111" s="137"/>
    </row>
    <row r="112" spans="36:36">
      <c r="AJ112" s="137"/>
    </row>
    <row r="113" spans="36:36">
      <c r="AJ113" s="137"/>
    </row>
    <row r="114" spans="36:36">
      <c r="AJ114" s="137"/>
    </row>
    <row r="115" spans="36:36">
      <c r="AJ115" s="137"/>
    </row>
    <row r="116" spans="36:36">
      <c r="AJ116" s="134"/>
    </row>
    <row r="117" spans="36:36">
      <c r="AJ117" s="134"/>
    </row>
    <row r="118" spans="36:36">
      <c r="AJ118" s="137"/>
    </row>
    <row r="119" spans="36:36">
      <c r="AJ119" s="137"/>
    </row>
    <row r="120" spans="36:36">
      <c r="AJ120" s="137"/>
    </row>
    <row r="121" spans="36:36">
      <c r="AJ121" s="137"/>
    </row>
    <row r="122" spans="36:36">
      <c r="AJ122" s="137"/>
    </row>
    <row r="123" spans="36:36">
      <c r="AJ123" s="137"/>
    </row>
    <row r="124" spans="36:36">
      <c r="AJ124" s="134"/>
    </row>
    <row r="125" spans="36:36">
      <c r="AJ125" s="137"/>
    </row>
    <row r="126" spans="36:36">
      <c r="AJ126" s="137"/>
    </row>
    <row r="127" spans="36:36">
      <c r="AJ127" s="137"/>
    </row>
    <row r="128" spans="36:36">
      <c r="AJ128" s="137"/>
    </row>
    <row r="129" spans="36:36">
      <c r="AJ129" s="137"/>
    </row>
    <row r="130" spans="36:36">
      <c r="AJ130" s="137"/>
    </row>
    <row r="131" spans="36:36">
      <c r="AJ131" s="134"/>
    </row>
    <row r="132" spans="36:36">
      <c r="AJ132" s="137"/>
    </row>
    <row r="133" spans="36:36">
      <c r="AJ133" s="137"/>
    </row>
    <row r="134" spans="36:36">
      <c r="AJ134" s="137"/>
    </row>
    <row r="135" spans="36:36">
      <c r="AJ135" s="137"/>
    </row>
    <row r="136" spans="36:36">
      <c r="AJ136" s="137"/>
    </row>
    <row r="137" spans="36:36">
      <c r="AJ137" s="137"/>
    </row>
    <row r="138" spans="36:36">
      <c r="AJ138" s="137"/>
    </row>
    <row r="139" spans="36:36">
      <c r="AJ139" s="137"/>
    </row>
    <row r="140" spans="36:36">
      <c r="AJ140" s="137"/>
    </row>
    <row r="141" spans="36:36">
      <c r="AJ141" s="137"/>
    </row>
    <row r="142" spans="36:36">
      <c r="AJ142" s="137"/>
    </row>
    <row r="143" spans="36:36">
      <c r="AJ143" s="137"/>
    </row>
    <row r="144" spans="36:36">
      <c r="AJ144" s="137"/>
    </row>
    <row r="145" spans="36:36">
      <c r="AJ145" s="137"/>
    </row>
    <row r="146" spans="36:36">
      <c r="AJ146" s="137"/>
    </row>
    <row r="147" spans="36:36">
      <c r="AJ147" s="137"/>
    </row>
    <row r="148" spans="36:36">
      <c r="AJ148" s="137"/>
    </row>
    <row r="149" spans="36:36">
      <c r="AJ149" s="137"/>
    </row>
    <row r="150" spans="36:36">
      <c r="AJ150" s="134"/>
    </row>
    <row r="151" spans="36:36">
      <c r="AJ151" s="137"/>
    </row>
    <row r="152" spans="36:36">
      <c r="AJ152" s="137"/>
    </row>
    <row r="153" spans="36:36">
      <c r="AJ153" s="137"/>
    </row>
    <row r="154" spans="36:36">
      <c r="AJ154" s="137"/>
    </row>
    <row r="155" spans="36:36">
      <c r="AJ155" s="137"/>
    </row>
    <row r="156" spans="36:36">
      <c r="AJ156" s="137"/>
    </row>
    <row r="157" spans="36:36">
      <c r="AJ157" s="137"/>
    </row>
    <row r="158" spans="36:36">
      <c r="AJ158" s="137"/>
    </row>
    <row r="159" spans="36:36">
      <c r="AJ159" s="137"/>
    </row>
    <row r="160" spans="36:36">
      <c r="AJ160" s="137"/>
    </row>
    <row r="161" spans="36:36">
      <c r="AJ161" s="137"/>
    </row>
    <row r="162" spans="36:36">
      <c r="AJ162" s="134"/>
    </row>
    <row r="163" spans="36:36">
      <c r="AJ163" s="137"/>
    </row>
    <row r="164" spans="36:36">
      <c r="AJ164" s="137"/>
    </row>
    <row r="165" spans="36:36">
      <c r="AJ165" s="137"/>
    </row>
    <row r="166" spans="36:36">
      <c r="AJ166" s="137"/>
    </row>
    <row r="167" spans="36:36">
      <c r="AJ167" s="137"/>
    </row>
    <row r="168" spans="36:36">
      <c r="AJ168" s="137"/>
    </row>
    <row r="169" spans="36:36">
      <c r="AJ169" s="137"/>
    </row>
    <row r="170" spans="36:36">
      <c r="AJ170" s="137"/>
    </row>
    <row r="171" spans="36:36">
      <c r="AJ171" s="134"/>
    </row>
    <row r="172" spans="36:36">
      <c r="AJ172" s="137"/>
    </row>
    <row r="173" spans="36:36">
      <c r="AJ173" s="137"/>
    </row>
    <row r="174" spans="36:36">
      <c r="AJ174" s="137"/>
    </row>
    <row r="175" spans="36:36">
      <c r="AJ175" s="137"/>
    </row>
    <row r="176" spans="36:36">
      <c r="AJ176" s="137"/>
    </row>
    <row r="177" spans="36:36">
      <c r="AJ177" s="137"/>
    </row>
    <row r="178" spans="36:36">
      <c r="AJ178" s="134"/>
    </row>
    <row r="179" spans="36:36">
      <c r="AJ179" s="137"/>
    </row>
    <row r="180" spans="36:36">
      <c r="AJ180" s="137"/>
    </row>
    <row r="181" spans="36:36">
      <c r="AJ181" s="137"/>
    </row>
    <row r="182" spans="36:36">
      <c r="AJ182" s="137"/>
    </row>
    <row r="183" spans="36:36">
      <c r="AJ183" s="137"/>
    </row>
    <row r="184" spans="36:36">
      <c r="AJ184" s="137"/>
    </row>
    <row r="185" spans="36:36">
      <c r="AJ185" s="137"/>
    </row>
    <row r="186" spans="36:36">
      <c r="AJ186" s="134"/>
    </row>
    <row r="187" spans="36:36">
      <c r="AJ187" s="137"/>
    </row>
    <row r="188" spans="36:36">
      <c r="AJ188" s="137"/>
    </row>
    <row r="189" spans="36:36">
      <c r="AJ189" s="137"/>
    </row>
    <row r="190" spans="36:36">
      <c r="AJ190" s="137"/>
    </row>
    <row r="191" spans="36:36">
      <c r="AJ191" s="137"/>
    </row>
    <row r="192" spans="36:36">
      <c r="AJ192" s="137"/>
    </row>
    <row r="193" spans="36:36">
      <c r="AJ193" s="137"/>
    </row>
    <row r="194" spans="36:36">
      <c r="AJ194" s="137"/>
    </row>
    <row r="195" spans="36:36">
      <c r="AJ195" s="137"/>
    </row>
    <row r="196" spans="36:36">
      <c r="AJ196" s="137"/>
    </row>
    <row r="197" spans="36:36">
      <c r="AJ197" s="137"/>
    </row>
    <row r="198" spans="36:36">
      <c r="AJ198" s="137"/>
    </row>
    <row r="199" spans="36:36">
      <c r="AJ199" s="137"/>
    </row>
    <row r="200" spans="36:36">
      <c r="AJ200" s="137"/>
    </row>
    <row r="201" spans="36:36">
      <c r="AJ201" s="137"/>
    </row>
    <row r="202" spans="36:36">
      <c r="AJ202" s="137"/>
    </row>
    <row r="203" spans="36:36">
      <c r="AJ203" s="137"/>
    </row>
    <row r="204" spans="36:36">
      <c r="AJ204" s="137"/>
    </row>
    <row r="205" spans="36:36">
      <c r="AJ205" s="137"/>
    </row>
    <row r="206" spans="36:36">
      <c r="AJ206" s="137"/>
    </row>
    <row r="212" spans="36:36">
      <c r="AJ212" s="137"/>
    </row>
    <row r="221" spans="36:36">
      <c r="AJ221" s="89"/>
    </row>
    <row r="222" spans="36:36">
      <c r="AJ222" s="89"/>
    </row>
  </sheetData>
  <mergeCells count="263">
    <mergeCell ref="A60:AI60"/>
    <mergeCell ref="A61:AI61"/>
    <mergeCell ref="D57:J57"/>
    <mergeCell ref="N57:T57"/>
    <mergeCell ref="X57:AF57"/>
    <mergeCell ref="A58:C58"/>
    <mergeCell ref="D58:J58"/>
    <mergeCell ref="N58:T58"/>
    <mergeCell ref="X58:AF58"/>
    <mergeCell ref="D59:J59"/>
    <mergeCell ref="N59:T59"/>
    <mergeCell ref="X59:AF59"/>
    <mergeCell ref="C53:AI53"/>
    <mergeCell ref="A54:C54"/>
    <mergeCell ref="D54:J54"/>
    <mergeCell ref="N54:T54"/>
    <mergeCell ref="X54:AF54"/>
    <mergeCell ref="D55:J55"/>
    <mergeCell ref="N55:T55"/>
    <mergeCell ref="X55:AF55"/>
    <mergeCell ref="D56:J56"/>
    <mergeCell ref="N56:T56"/>
    <mergeCell ref="X56:AF56"/>
    <mergeCell ref="B51:C51"/>
    <mergeCell ref="D51:G51"/>
    <mergeCell ref="H51:K51"/>
    <mergeCell ref="L51:O51"/>
    <mergeCell ref="P51:S51"/>
    <mergeCell ref="T51:W51"/>
    <mergeCell ref="X51:AB51"/>
    <mergeCell ref="AC51:AI51"/>
    <mergeCell ref="C52:AI52"/>
    <mergeCell ref="B49:C49"/>
    <mergeCell ref="D49:G49"/>
    <mergeCell ref="H49:K49"/>
    <mergeCell ref="L49:O49"/>
    <mergeCell ref="P49:S49"/>
    <mergeCell ref="T49:W49"/>
    <mergeCell ref="X49:AB49"/>
    <mergeCell ref="AC49:AI49"/>
    <mergeCell ref="P50:S50"/>
    <mergeCell ref="T50:W50"/>
    <mergeCell ref="X50:AB50"/>
    <mergeCell ref="AC50:AI50"/>
    <mergeCell ref="B50:C50"/>
    <mergeCell ref="D50:G50"/>
    <mergeCell ref="H50:K50"/>
    <mergeCell ref="L50:O50"/>
    <mergeCell ref="A46:V46"/>
    <mergeCell ref="H47:O47"/>
    <mergeCell ref="P47:W47"/>
    <mergeCell ref="A47:A48"/>
    <mergeCell ref="B47:C48"/>
    <mergeCell ref="D47:G48"/>
    <mergeCell ref="X47:AB48"/>
    <mergeCell ref="AC47:AI48"/>
    <mergeCell ref="H48:K48"/>
    <mergeCell ref="L48:O48"/>
    <mergeCell ref="P48:S48"/>
    <mergeCell ref="T48:W48"/>
    <mergeCell ref="AH42:AI42"/>
    <mergeCell ref="B43:C43"/>
    <mergeCell ref="E43:F43"/>
    <mergeCell ref="J43:L43"/>
    <mergeCell ref="M43:O43"/>
    <mergeCell ref="P43:Q43"/>
    <mergeCell ref="R43:S43"/>
    <mergeCell ref="T43:U43"/>
    <mergeCell ref="V43:W43"/>
    <mergeCell ref="X43:Y43"/>
    <mergeCell ref="V42:W42"/>
    <mergeCell ref="X42:Y42"/>
    <mergeCell ref="Z43:AA43"/>
    <mergeCell ref="AB43:AC43"/>
    <mergeCell ref="AD43:AE43"/>
    <mergeCell ref="AF43:AG43"/>
    <mergeCell ref="Z42:AA42"/>
    <mergeCell ref="AB42:AC42"/>
    <mergeCell ref="AD42:AE42"/>
    <mergeCell ref="AF42:AG42"/>
    <mergeCell ref="AD38:AE38"/>
    <mergeCell ref="AF38:AG38"/>
    <mergeCell ref="AH43:AI43"/>
    <mergeCell ref="B42:C42"/>
    <mergeCell ref="E42:F42"/>
    <mergeCell ref="J42:L42"/>
    <mergeCell ref="M42:O42"/>
    <mergeCell ref="P42:Q42"/>
    <mergeCell ref="R42:S42"/>
    <mergeCell ref="T42:U42"/>
    <mergeCell ref="R40:S40"/>
    <mergeCell ref="T40:U40"/>
    <mergeCell ref="V40:W40"/>
    <mergeCell ref="X40:Y40"/>
    <mergeCell ref="Z38:AA38"/>
    <mergeCell ref="AB38:AC38"/>
    <mergeCell ref="Z40:AA40"/>
    <mergeCell ref="AB40:AC40"/>
    <mergeCell ref="AD40:AE40"/>
    <mergeCell ref="AF40:AG40"/>
    <mergeCell ref="AH38:AI38"/>
    <mergeCell ref="B40:C40"/>
    <mergeCell ref="E40:F40"/>
    <mergeCell ref="J40:L40"/>
    <mergeCell ref="M40:O40"/>
    <mergeCell ref="P40:Q40"/>
    <mergeCell ref="AH40:AI40"/>
    <mergeCell ref="B38:C38"/>
    <mergeCell ref="E38:F38"/>
    <mergeCell ref="J38:L38"/>
    <mergeCell ref="M38:O38"/>
    <mergeCell ref="P38:Q38"/>
    <mergeCell ref="R38:S38"/>
    <mergeCell ref="T38:U38"/>
    <mergeCell ref="V38:W38"/>
    <mergeCell ref="X38:Y38"/>
    <mergeCell ref="AH34:AI34"/>
    <mergeCell ref="B36:C36"/>
    <mergeCell ref="E36:F36"/>
    <mergeCell ref="J36:L36"/>
    <mergeCell ref="M36:O36"/>
    <mergeCell ref="P36:Q36"/>
    <mergeCell ref="R36:S36"/>
    <mergeCell ref="T36:U36"/>
    <mergeCell ref="V36:W36"/>
    <mergeCell ref="X36:Y36"/>
    <mergeCell ref="V34:W34"/>
    <mergeCell ref="X34:Y34"/>
    <mergeCell ref="Z36:AA36"/>
    <mergeCell ref="AB36:AC36"/>
    <mergeCell ref="AD36:AE36"/>
    <mergeCell ref="AF36:AG36"/>
    <mergeCell ref="Z34:AA34"/>
    <mergeCell ref="AB34:AC34"/>
    <mergeCell ref="AD34:AE34"/>
    <mergeCell ref="AF34:AG34"/>
    <mergeCell ref="AD30:AE30"/>
    <mergeCell ref="AF30:AG30"/>
    <mergeCell ref="AH36:AI36"/>
    <mergeCell ref="B34:C34"/>
    <mergeCell ref="E34:F34"/>
    <mergeCell ref="J34:L34"/>
    <mergeCell ref="M34:O34"/>
    <mergeCell ref="P34:Q34"/>
    <mergeCell ref="R34:S34"/>
    <mergeCell ref="T34:U34"/>
    <mergeCell ref="R32:S32"/>
    <mergeCell ref="T32:U32"/>
    <mergeCell ref="V32:W32"/>
    <mergeCell ref="X32:Y32"/>
    <mergeCell ref="Z30:AA30"/>
    <mergeCell ref="AB30:AC30"/>
    <mergeCell ref="Z32:AA32"/>
    <mergeCell ref="AB32:AC32"/>
    <mergeCell ref="AD32:AE32"/>
    <mergeCell ref="AF32:AG32"/>
    <mergeCell ref="AH30:AI30"/>
    <mergeCell ref="B32:C32"/>
    <mergeCell ref="E32:F32"/>
    <mergeCell ref="J32:L32"/>
    <mergeCell ref="M32:O32"/>
    <mergeCell ref="P32:Q32"/>
    <mergeCell ref="AH32:AI32"/>
    <mergeCell ref="B30:C30"/>
    <mergeCell ref="E30:F30"/>
    <mergeCell ref="J30:L30"/>
    <mergeCell ref="M30:O30"/>
    <mergeCell ref="P30:Q30"/>
    <mergeCell ref="R30:S30"/>
    <mergeCell ref="T30:U30"/>
    <mergeCell ref="V30:W30"/>
    <mergeCell ref="X30:Y30"/>
    <mergeCell ref="T28:U28"/>
    <mergeCell ref="V28:W28"/>
    <mergeCell ref="X28:Y28"/>
    <mergeCell ref="Z26:AA26"/>
    <mergeCell ref="AB26:AC26"/>
    <mergeCell ref="AD26:AE26"/>
    <mergeCell ref="B28:C28"/>
    <mergeCell ref="E28:F28"/>
    <mergeCell ref="J28:L28"/>
    <mergeCell ref="M28:O28"/>
    <mergeCell ref="P28:Q28"/>
    <mergeCell ref="R28:S28"/>
    <mergeCell ref="X26:Y26"/>
    <mergeCell ref="Z28:AA28"/>
    <mergeCell ref="AB28:AC28"/>
    <mergeCell ref="AD28:AE28"/>
    <mergeCell ref="AF28:AG28"/>
    <mergeCell ref="AH26:AI26"/>
    <mergeCell ref="AF26:AG26"/>
    <mergeCell ref="T24:U24"/>
    <mergeCell ref="AH28:AI28"/>
    <mergeCell ref="B26:C26"/>
    <mergeCell ref="E26:F26"/>
    <mergeCell ref="J26:L26"/>
    <mergeCell ref="M26:O26"/>
    <mergeCell ref="P26:Q26"/>
    <mergeCell ref="R26:S26"/>
    <mergeCell ref="T26:U26"/>
    <mergeCell ref="V26:W26"/>
    <mergeCell ref="B24:C24"/>
    <mergeCell ref="E24:F24"/>
    <mergeCell ref="J24:L24"/>
    <mergeCell ref="M24:O24"/>
    <mergeCell ref="P24:Q24"/>
    <mergeCell ref="R24:S24"/>
    <mergeCell ref="V24:W24"/>
    <mergeCell ref="X24:Y24"/>
    <mergeCell ref="Z24:AA24"/>
    <mergeCell ref="AB24:AC24"/>
    <mergeCell ref="AD22:AE22"/>
    <mergeCell ref="AF22:AG22"/>
    <mergeCell ref="J22:L22"/>
    <mergeCell ref="M22:O22"/>
    <mergeCell ref="P22:Q22"/>
    <mergeCell ref="R22:S22"/>
    <mergeCell ref="T22:U22"/>
    <mergeCell ref="V22:W22"/>
    <mergeCell ref="AJ16:AJ21"/>
    <mergeCell ref="AK16:AK21"/>
    <mergeCell ref="AF18:AG21"/>
    <mergeCell ref="AH18:AI21"/>
    <mergeCell ref="AD24:AE24"/>
    <mergeCell ref="AF24:AG24"/>
    <mergeCell ref="AH24:AI24"/>
    <mergeCell ref="AH22:AI22"/>
    <mergeCell ref="P18:Q21"/>
    <mergeCell ref="R18:S21"/>
    <mergeCell ref="T18:U21"/>
    <mergeCell ref="V18:W21"/>
    <mergeCell ref="Z22:AA22"/>
    <mergeCell ref="AB22:AC22"/>
    <mergeCell ref="X22:Y22"/>
    <mergeCell ref="P16:AI17"/>
    <mergeCell ref="A16:A21"/>
    <mergeCell ref="B16:D21"/>
    <mergeCell ref="E16:I21"/>
    <mergeCell ref="J16:L21"/>
    <mergeCell ref="M16:O21"/>
    <mergeCell ref="X18:Y21"/>
    <mergeCell ref="Z18:AA21"/>
    <mergeCell ref="AB18:AC21"/>
    <mergeCell ref="AD18:AE21"/>
    <mergeCell ref="V1:AI1"/>
    <mergeCell ref="B2:F2"/>
    <mergeCell ref="V2:AI2"/>
    <mergeCell ref="V3:AI3"/>
    <mergeCell ref="A14:AI14"/>
    <mergeCell ref="A15:AI15"/>
    <mergeCell ref="A10:AI10"/>
    <mergeCell ref="A11:AI11"/>
    <mergeCell ref="A12:AI12"/>
    <mergeCell ref="A13:AI13"/>
    <mergeCell ref="V9:W9"/>
    <mergeCell ref="B9:C9"/>
    <mergeCell ref="F9:J9"/>
    <mergeCell ref="K9:M9"/>
    <mergeCell ref="P9:U9"/>
    <mergeCell ref="AA4:AI4"/>
    <mergeCell ref="A6:AI6"/>
    <mergeCell ref="A7:AI7"/>
    <mergeCell ref="A8:AI8"/>
  </mergeCells>
  <phoneticPr fontId="0" type="noConversion"/>
  <dataValidations count="1">
    <dataValidation type="list" allowBlank="1" showInputMessage="1" showErrorMessage="1" sqref="AJ1:AJ1048576">
      <formula1>'Исходник '!$G$1:$G$5</formula1>
    </dataValidation>
  </dataValidations>
  <pageMargins left="0.39374999999999999" right="0.19652800000000001" top="0.59027799999999997" bottom="0.59027799999999997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22"/>
  <sheetViews>
    <sheetView zoomScale="85" workbookViewId="0">
      <selection activeCell="R10" sqref="R10"/>
    </sheetView>
  </sheetViews>
  <sheetFormatPr defaultRowHeight="12.75"/>
  <cols>
    <col min="1" max="1" width="5.28515625" style="39" customWidth="1"/>
    <col min="2" max="2" width="16" style="40" customWidth="1"/>
    <col min="3" max="3" width="11.140625" style="40" customWidth="1"/>
    <col min="4" max="4" width="9.140625" style="1"/>
    <col min="5" max="5" width="11.85546875" style="1" customWidth="1"/>
    <col min="6" max="6" width="9.140625" style="1"/>
    <col min="7" max="7" width="11.85546875" style="1" customWidth="1"/>
    <col min="8" max="8" width="8.42578125" style="1" customWidth="1"/>
    <col min="9" max="9" width="4.28515625" style="1" customWidth="1"/>
    <col min="10" max="10" width="12.7109375" style="1" customWidth="1"/>
    <col min="11" max="11" width="9.140625" style="1"/>
    <col min="12" max="12" width="7.28515625" style="1" customWidth="1"/>
    <col min="13" max="13" width="9.140625" style="1"/>
    <col min="14" max="14" width="15.42578125" style="1" customWidth="1"/>
    <col min="15" max="16384" width="9.140625" style="1"/>
  </cols>
  <sheetData>
    <row r="1" spans="1:35" s="43" customFormat="1" ht="21.75" customHeight="1">
      <c r="A1" s="275"/>
      <c r="B1" s="42" t="str">
        <f ca="1">'Исходник '!B3</f>
        <v>ООО «ТМ-Электро»</v>
      </c>
      <c r="C1" s="276"/>
      <c r="G1" s="42" t="s">
        <v>489</v>
      </c>
      <c r="H1" s="903">
        <f ca="1">'Исходник '!B19</f>
        <v>0</v>
      </c>
      <c r="I1" s="819"/>
      <c r="J1" s="819"/>
      <c r="K1" s="819"/>
      <c r="L1" s="819"/>
      <c r="M1" s="819"/>
      <c r="N1" s="819"/>
      <c r="O1" s="49"/>
      <c r="R1" s="272"/>
      <c r="X1" s="42"/>
      <c r="AA1" s="272"/>
      <c r="AB1" s="49"/>
      <c r="AC1" s="49"/>
      <c r="AD1" s="49"/>
      <c r="AE1" s="49"/>
      <c r="AF1" s="49"/>
      <c r="AG1" s="49"/>
      <c r="AH1" s="49"/>
    </row>
    <row r="2" spans="1:35" s="44" customFormat="1" ht="19.5" customHeight="1">
      <c r="A2" s="41"/>
      <c r="B2" s="318" t="s">
        <v>915</v>
      </c>
      <c r="C2" s="319"/>
      <c r="D2" s="45"/>
      <c r="E2" s="45"/>
      <c r="F2" s="45"/>
      <c r="G2" s="42" t="s">
        <v>491</v>
      </c>
      <c r="H2" s="904" t="str">
        <f ca="1">'Исходник '!B20</f>
        <v>Фитнес-клуб</v>
      </c>
      <c r="I2" s="444"/>
      <c r="J2" s="444"/>
      <c r="K2" s="444"/>
      <c r="L2" s="444"/>
      <c r="M2" s="444"/>
      <c r="N2" s="444"/>
      <c r="O2" s="46"/>
      <c r="P2" s="43"/>
      <c r="Q2" s="47"/>
      <c r="R2" s="48"/>
      <c r="S2" s="47"/>
      <c r="T2" s="43"/>
      <c r="U2" s="43"/>
      <c r="V2" s="47"/>
      <c r="W2" s="47"/>
      <c r="X2" s="46"/>
      <c r="Y2" s="47"/>
      <c r="Z2" s="47"/>
      <c r="AA2" s="48"/>
      <c r="AB2" s="43"/>
      <c r="AC2" s="43"/>
      <c r="AF2" s="48"/>
    </row>
    <row r="3" spans="1:35" s="43" customFormat="1" ht="20.25" customHeight="1">
      <c r="A3" s="275"/>
      <c r="B3" s="48" t="str">
        <f ca="1">CONCATENATE('Исходник '!A5," ",'Исходник '!B5)</f>
        <v>Свидетельство о регистрации № 6231-2</v>
      </c>
      <c r="C3" s="47"/>
      <c r="D3" s="47"/>
      <c r="E3" s="47"/>
      <c r="F3" s="47"/>
      <c r="G3" s="42" t="s">
        <v>494</v>
      </c>
      <c r="H3" s="904">
        <f ca="1">'Исходник '!B21</f>
        <v>0</v>
      </c>
      <c r="I3" s="819"/>
      <c r="J3" s="819"/>
      <c r="K3" s="819"/>
      <c r="L3" s="819"/>
      <c r="M3" s="819"/>
      <c r="N3" s="819"/>
      <c r="O3" s="46"/>
      <c r="P3" s="49"/>
      <c r="Q3" s="48"/>
      <c r="R3" s="49"/>
      <c r="S3" s="49"/>
      <c r="T3" s="49"/>
      <c r="U3" s="49"/>
      <c r="V3" s="49"/>
      <c r="W3" s="49"/>
      <c r="X3" s="46"/>
      <c r="Y3" s="49"/>
      <c r="Z3" s="48"/>
      <c r="AA3" s="46"/>
      <c r="AB3" s="49"/>
      <c r="AC3" s="49"/>
      <c r="AF3" s="48"/>
    </row>
    <row r="4" spans="1:35" s="43" customFormat="1" ht="19.5" customHeight="1">
      <c r="A4" s="275"/>
      <c r="B4" s="48" t="str">
        <f ca="1">CONCATENATE('Исходник '!A7," ",'Исходник '!B7)</f>
        <v xml:space="preserve">Действительно до «11» января 2022 г. </v>
      </c>
      <c r="C4" s="47"/>
      <c r="D4" s="47"/>
      <c r="E4" s="47"/>
      <c r="F4" s="47"/>
      <c r="G4" s="42"/>
      <c r="H4" s="47"/>
      <c r="I4" s="47"/>
      <c r="J4" s="47"/>
      <c r="K4" s="904"/>
      <c r="L4" s="819"/>
      <c r="M4" s="819"/>
      <c r="N4" s="819"/>
      <c r="O4" s="46"/>
      <c r="P4" s="49"/>
      <c r="Q4" s="49"/>
      <c r="R4" s="49"/>
      <c r="S4" s="49"/>
      <c r="T4" s="49"/>
      <c r="U4" s="49"/>
      <c r="V4" s="49"/>
      <c r="W4" s="49"/>
      <c r="X4" s="46"/>
      <c r="Y4" s="49"/>
      <c r="Z4" s="49"/>
      <c r="AA4" s="46"/>
      <c r="AB4" s="49"/>
      <c r="AC4" s="49"/>
      <c r="AH4" s="48"/>
      <c r="AI4" s="48"/>
    </row>
    <row r="5" spans="1:35" s="49" customFormat="1" ht="39" customHeight="1">
      <c r="A5" s="901" t="s">
        <v>296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</row>
    <row r="6" spans="1:35" s="49" customFormat="1" ht="27" customHeight="1">
      <c r="A6" s="917" t="s">
        <v>540</v>
      </c>
      <c r="B6" s="914" t="s">
        <v>541</v>
      </c>
      <c r="C6" s="917" t="s">
        <v>542</v>
      </c>
      <c r="D6" s="911" t="s">
        <v>544</v>
      </c>
      <c r="E6" s="912"/>
      <c r="F6" s="912"/>
      <c r="G6" s="913"/>
      <c r="H6" s="911" t="s">
        <v>545</v>
      </c>
      <c r="I6" s="912"/>
      <c r="J6" s="913"/>
      <c r="K6" s="905" t="s">
        <v>546</v>
      </c>
      <c r="L6" s="906"/>
      <c r="M6" s="905" t="s">
        <v>547</v>
      </c>
      <c r="N6" s="906"/>
    </row>
    <row r="7" spans="1:35" s="49" customFormat="1" ht="21.75" customHeight="1">
      <c r="A7" s="916"/>
      <c r="B7" s="916"/>
      <c r="C7" s="916"/>
      <c r="D7" s="909" t="s">
        <v>548</v>
      </c>
      <c r="E7" s="910"/>
      <c r="F7" s="909" t="s">
        <v>549</v>
      </c>
      <c r="G7" s="910"/>
      <c r="H7" s="909" t="s">
        <v>550</v>
      </c>
      <c r="I7" s="910"/>
      <c r="J7" s="271" t="s">
        <v>551</v>
      </c>
      <c r="K7" s="907"/>
      <c r="L7" s="908"/>
      <c r="M7" s="907"/>
      <c r="N7" s="908"/>
    </row>
    <row r="8" spans="1:35" s="39" customFormat="1" ht="20.25" customHeight="1">
      <c r="A8" s="914">
        <v>1</v>
      </c>
      <c r="B8" s="914" t="str">
        <f ca="1">'Исходник '!B56</f>
        <v>MPI-520</v>
      </c>
      <c r="C8" s="914">
        <f ca="1">'Исходник '!C56</f>
        <v>723895</v>
      </c>
      <c r="D8" s="911" t="str">
        <f ca="1">'Исходник '!F56</f>
        <v>0...400 Ом (0,01 Ом)</v>
      </c>
      <c r="E8" s="913"/>
      <c r="F8" s="905" t="str">
        <f ca="1">'Исходник '!H56</f>
        <v>± (2% R+3 е.м.р.)</v>
      </c>
      <c r="G8" s="918"/>
      <c r="H8" s="920">
        <f ca="1">'Исходник '!J56</f>
        <v>43530</v>
      </c>
      <c r="I8" s="906"/>
      <c r="J8" s="923">
        <f ca="1">'Исходник '!L56</f>
        <v>43895</v>
      </c>
      <c r="K8" s="921" t="str">
        <f ca="1">'Исходник '!N56</f>
        <v>№18182-А</v>
      </c>
      <c r="L8" s="922"/>
      <c r="M8" s="924" t="str">
        <f ca="1">'Исходник '!P56</f>
        <v>ООО "СОНЕЛ"</v>
      </c>
      <c r="N8" s="922"/>
    </row>
    <row r="9" spans="1:35" ht="39.75" customHeight="1">
      <c r="A9" s="915"/>
      <c r="B9" s="915"/>
      <c r="C9" s="915"/>
      <c r="D9" s="911" t="str">
        <f ca="1">'Исходник '!F57</f>
        <v>0…3 ГОм (1 кОм)</v>
      </c>
      <c r="E9" s="913"/>
      <c r="F9" s="905" t="str">
        <f ca="1">'Исходник '!H57</f>
        <v>± (3% Riso+8 е.м.р.)</v>
      </c>
      <c r="G9" s="918"/>
      <c r="H9" s="921"/>
      <c r="I9" s="922"/>
      <c r="J9" s="915"/>
      <c r="K9" s="921"/>
      <c r="L9" s="922"/>
      <c r="M9" s="921"/>
      <c r="N9" s="922"/>
    </row>
    <row r="10" spans="1:35" ht="39" customHeight="1">
      <c r="A10" s="915"/>
      <c r="B10" s="915"/>
      <c r="C10" s="915"/>
      <c r="D10" s="911" t="str">
        <f ca="1">'Исходник '!F58</f>
        <v>0-1999 Ом (0,01 Ом)
0,001...40кА (0,001кА)</v>
      </c>
      <c r="E10" s="913"/>
      <c r="F10" s="905" t="str">
        <f ca="1">'Исходник '!H58</f>
        <v xml:space="preserve"> ± (5% ZS+5 е.м.р.)                     -∆I; +∆I;</v>
      </c>
      <c r="G10" s="918"/>
      <c r="H10" s="921"/>
      <c r="I10" s="922"/>
      <c r="J10" s="915"/>
      <c r="K10" s="921"/>
      <c r="L10" s="922"/>
      <c r="M10" s="921"/>
      <c r="N10" s="922"/>
    </row>
    <row r="11" spans="1:35" ht="43.5" customHeight="1">
      <c r="A11" s="916"/>
      <c r="B11" s="916"/>
      <c r="C11" s="916"/>
      <c r="D11" s="905" t="str">
        <f ca="1">'Исходник '!F59</f>
        <v>0,1…1000 Ма(0,1мА)
0-300мс(1мс)</v>
      </c>
      <c r="E11" s="918"/>
      <c r="F11" s="919" t="str">
        <f ca="1">'Исходник '!H59</f>
        <v>± 5% I∆n
± (2% tА+2 е.м.р.)</v>
      </c>
      <c r="G11" s="918"/>
      <c r="H11" s="907"/>
      <c r="I11" s="908"/>
      <c r="J11" s="916"/>
      <c r="K11" s="907"/>
      <c r="L11" s="908"/>
      <c r="M11" s="907"/>
      <c r="N11" s="908"/>
    </row>
    <row r="12" spans="1:35" s="49" customFormat="1" ht="30.75" customHeight="1">
      <c r="A12" s="271">
        <v>2</v>
      </c>
      <c r="B12" s="271" t="str">
        <f ca="1">'Исходник '!B61</f>
        <v>ИВТМ-7</v>
      </c>
      <c r="C12" s="271">
        <f ca="1">'Исходник '!C61:D61</f>
        <v>20084</v>
      </c>
      <c r="D12" s="905" t="str">
        <f ca="1">'Исходник '!F61</f>
        <v>0-99 %
-20 +60 0С</v>
      </c>
      <c r="E12" s="918"/>
      <c r="F12" s="919" t="str">
        <f ca="1">'Исходник '!H61</f>
        <v>± 2%
± 0,2 0С</v>
      </c>
      <c r="G12" s="918"/>
      <c r="H12" s="926">
        <f ca="1">'Исходник '!J61</f>
        <v>43517</v>
      </c>
      <c r="I12" s="927"/>
      <c r="J12" s="416" t="str">
        <f ca="1">'Исходник '!L61</f>
        <v>21.02.2020.</v>
      </c>
      <c r="K12" s="925" t="str">
        <f ca="1">'Исходник '!N61</f>
        <v>№197</v>
      </c>
      <c r="L12" s="925"/>
      <c r="M12" s="925" t="str">
        <f ca="1">'Исходник '!P61</f>
        <v>ООО НПК "АВИАПРИБОР"</v>
      </c>
      <c r="N12" s="925"/>
      <c r="O12" s="39"/>
      <c r="P12" s="39"/>
    </row>
    <row r="13" spans="1:35" s="49" customFormat="1" ht="36" customHeight="1">
      <c r="A13" s="271">
        <v>3</v>
      </c>
      <c r="B13" s="271" t="str">
        <f ca="1">'Исходник '!B62</f>
        <v>Барометр М 67</v>
      </c>
      <c r="C13" s="271">
        <f ca="1">'Исходник '!C62:D62</f>
        <v>74</v>
      </c>
      <c r="D13" s="905" t="str">
        <f ca="1">'Исходник '!F62</f>
        <v>610-790
 мм.рт.ст</v>
      </c>
      <c r="E13" s="918"/>
      <c r="F13" s="905" t="str">
        <f ca="1">'Исходник '!H62</f>
        <v>± 0,8 мм.рт.ст.</v>
      </c>
      <c r="G13" s="918"/>
      <c r="H13" s="926">
        <f ca="1">'Исходник '!J62</f>
        <v>43517</v>
      </c>
      <c r="I13" s="927"/>
      <c r="J13" s="416" t="str">
        <f ca="1">'Исходник '!L62</f>
        <v>21.02.2020.</v>
      </c>
      <c r="K13" s="925" t="str">
        <f ca="1">'Исходник '!N62</f>
        <v>№200</v>
      </c>
      <c r="L13" s="925"/>
      <c r="M13" s="925" t="str">
        <f ca="1">'Исходник '!P62</f>
        <v>ООО НПК "АВИАПРИБОР"</v>
      </c>
      <c r="N13" s="925"/>
      <c r="O13" s="39"/>
      <c r="P13" s="39"/>
    </row>
    <row r="14" spans="1:35" s="49" customFormat="1" ht="33.75" customHeight="1">
      <c r="A14" s="271">
        <v>4</v>
      </c>
      <c r="B14" s="271" t="str">
        <f ca="1">'Исходник '!B63</f>
        <v>РТ2048-02</v>
      </c>
      <c r="C14" s="271">
        <f ca="1">'Исходник '!C63:D63</f>
        <v>1241</v>
      </c>
      <c r="D14" s="905" t="str">
        <f ca="1">'Исходник '!F63</f>
        <v>до 2000А</v>
      </c>
      <c r="E14" s="918"/>
      <c r="F14" s="919" t="str">
        <f ca="1">'Исходник '!H63</f>
        <v>±10%</v>
      </c>
      <c r="G14" s="918"/>
      <c r="H14" s="926">
        <f ca="1">'Исходник '!J63</f>
        <v>43186</v>
      </c>
      <c r="I14" s="927"/>
      <c r="J14" s="416">
        <f ca="1">'Исходник '!L63</f>
        <v>43917</v>
      </c>
      <c r="K14" s="925" t="str">
        <f ca="1">'Исходник '!N63</f>
        <v>№175</v>
      </c>
      <c r="L14" s="925"/>
      <c r="M14" s="925" t="str">
        <f ca="1">'Исходник '!P63</f>
        <v>ООО НПК "АВИАПРИБОР"</v>
      </c>
      <c r="N14" s="925"/>
    </row>
    <row r="15" spans="1:35" s="49" customFormat="1" ht="40.5" customHeight="1">
      <c r="A15" s="271">
        <v>5</v>
      </c>
      <c r="B15" s="271" t="str">
        <f ca="1">'Исходник '!B64</f>
        <v>MIC-2500</v>
      </c>
      <c r="C15" s="271">
        <f ca="1">'Исходник '!C64:D64</f>
        <v>248181</v>
      </c>
      <c r="D15" s="905" t="str">
        <f ca="1">'Исходник '!F64</f>
        <v>50,00 кОм…110,0 Гом
(0,01 кОм…0,1 Гом)</v>
      </c>
      <c r="E15" s="918"/>
      <c r="F15" s="905" t="str">
        <f ca="1">'Исходник '!H64</f>
        <v>± (3% и.в.+20 е.м.р.)</v>
      </c>
      <c r="G15" s="918"/>
      <c r="H15" s="926">
        <f ca="1">'Исходник '!J64</f>
        <v>43553</v>
      </c>
      <c r="I15" s="927"/>
      <c r="J15" s="416">
        <f ca="1">'Исходник '!L64</f>
        <v>43919</v>
      </c>
      <c r="K15" s="925" t="str">
        <f ca="1">'Исходник '!N64</f>
        <v>№301</v>
      </c>
      <c r="L15" s="925"/>
      <c r="M15" s="925" t="str">
        <f ca="1">'Исходник '!P64</f>
        <v>ООО НПК "АВИАПРИБОР"</v>
      </c>
      <c r="N15" s="925"/>
      <c r="O15" s="50"/>
      <c r="P15" s="50"/>
    </row>
    <row r="16" spans="1:35" s="49" customFormat="1" ht="40.5" customHeight="1">
      <c r="A16" s="271">
        <v>6</v>
      </c>
      <c r="B16" s="415" t="str">
        <f ca="1">'Исходник '!B65</f>
        <v>Тепловизор
"TESTO 875-1"</v>
      </c>
      <c r="C16" s="418" t="str">
        <f ca="1">'Исходник '!C65:D65</f>
        <v>05608751</v>
      </c>
      <c r="D16" s="911" t="str">
        <f ca="1">'Исходник '!F65</f>
        <v>В соответствии с  руководством по эксплуатации</v>
      </c>
      <c r="E16" s="913"/>
      <c r="F16" s="911" t="str">
        <f ca="1">'Исходник '!H65</f>
        <v xml:space="preserve"> - </v>
      </c>
      <c r="G16" s="913"/>
      <c r="H16" s="926">
        <f ca="1">'Исходник '!J65</f>
        <v>43517</v>
      </c>
      <c r="I16" s="927"/>
      <c r="J16" s="416" t="str">
        <f ca="1">'Исходник '!L65</f>
        <v>21.02.2020.</v>
      </c>
      <c r="K16" s="925" t="str">
        <f ca="1">'Исходник '!N65</f>
        <v>№199</v>
      </c>
      <c r="L16" s="925"/>
      <c r="M16" s="925" t="str">
        <f ca="1">'Исходник '!P65</f>
        <v>ООО НПК "АВИАПРИБОР"</v>
      </c>
      <c r="N16" s="925"/>
      <c r="O16" s="50"/>
      <c r="P16" s="50"/>
    </row>
    <row r="17" spans="1:16" s="49" customFormat="1" ht="40.5" customHeight="1">
      <c r="A17" s="271">
        <v>7</v>
      </c>
      <c r="B17" s="415" t="str">
        <f ca="1">'Исходник '!B66</f>
        <v>Тр-р тока измерительный лабораторный
 УТ Т-6М2</v>
      </c>
      <c r="C17" s="271">
        <f ca="1">'Исходник '!C66:D66</f>
        <v>81667</v>
      </c>
      <c r="D17" s="911" t="str">
        <f ca="1">'Исходник '!F66</f>
        <v>0-260В, 9А</v>
      </c>
      <c r="E17" s="913"/>
      <c r="F17" s="911" t="str">
        <f ca="1">'Исходник '!H66</f>
        <v xml:space="preserve"> - </v>
      </c>
      <c r="G17" s="913"/>
      <c r="H17" s="926">
        <f ca="1">'Исходник '!J66</f>
        <v>43517</v>
      </c>
      <c r="I17" s="927"/>
      <c r="J17" s="416" t="str">
        <f ca="1">'Исходник '!L66</f>
        <v>21.02.2020.</v>
      </c>
      <c r="K17" s="925" t="str">
        <f ca="1">'Исходник '!N66</f>
        <v>№193</v>
      </c>
      <c r="L17" s="925"/>
      <c r="M17" s="925" t="str">
        <f ca="1">'Исходник '!P66</f>
        <v>ООО НПК "АВИАПРИБОР"</v>
      </c>
      <c r="N17" s="925"/>
      <c r="O17" s="50"/>
      <c r="P17" s="50"/>
    </row>
    <row r="18" spans="1:16" s="49" customFormat="1" ht="40.5" customHeight="1">
      <c r="A18" s="271">
        <v>8</v>
      </c>
      <c r="B18" s="415" t="str">
        <f ca="1">'Исходник '!B67</f>
        <v>Секундомер электрический 
ПВ-53Щ</v>
      </c>
      <c r="C18" s="271">
        <f ca="1">'Исходник '!C67:D67</f>
        <v>5306269</v>
      </c>
      <c r="D18" s="911" t="str">
        <f ca="1">'Исходник '!F67</f>
        <v>0,01с</v>
      </c>
      <c r="E18" s="913"/>
      <c r="F18" s="911">
        <f ca="1">'Исходник '!H67</f>
        <v>1.5</v>
      </c>
      <c r="G18" s="913"/>
      <c r="H18" s="926">
        <f ca="1">'Исходник '!J67</f>
        <v>43553</v>
      </c>
      <c r="I18" s="927"/>
      <c r="J18" s="416">
        <f ca="1">'Исходник '!L67</f>
        <v>43919</v>
      </c>
      <c r="K18" s="925" t="str">
        <f ca="1">'Исходник '!N67</f>
        <v>№291</v>
      </c>
      <c r="L18" s="925"/>
      <c r="M18" s="925" t="str">
        <f ca="1">'Исходник '!P67</f>
        <v>ООО НПК "АВИАПРИБОР"</v>
      </c>
      <c r="N18" s="925"/>
      <c r="O18" s="50"/>
      <c r="P18" s="50"/>
    </row>
    <row r="19" spans="1:16" s="49" customFormat="1" ht="40.5" customHeight="1">
      <c r="A19" s="271">
        <v>9</v>
      </c>
      <c r="B19" s="415" t="str">
        <f ca="1">'Исходник '!B68</f>
        <v>ЛАТР 
suntek I 500</v>
      </c>
      <c r="C19" s="271">
        <f ca="1">'Исходник '!C68:D68</f>
        <v>2185</v>
      </c>
      <c r="D19" s="911" t="str">
        <f ca="1">'Исходник '!F68</f>
        <v>0-300B/4A</v>
      </c>
      <c r="E19" s="913"/>
      <c r="F19" s="911" t="str">
        <f ca="1">'Исходник '!H68</f>
        <v xml:space="preserve"> - </v>
      </c>
      <c r="G19" s="913"/>
      <c r="H19" s="929" t="str">
        <f ca="1">'Исходник '!J68</f>
        <v>приобретён 26.12.2018г.</v>
      </c>
      <c r="I19" s="913"/>
      <c r="J19" s="416" t="str">
        <f ca="1">'Исходник '!L68</f>
        <v xml:space="preserve"> - </v>
      </c>
      <c r="K19" s="928" t="str">
        <f ca="1">'Исходник '!N68</f>
        <v xml:space="preserve"> - </v>
      </c>
      <c r="L19" s="925"/>
      <c r="M19" s="928" t="str">
        <f ca="1">'Исходник '!P68</f>
        <v xml:space="preserve"> - </v>
      </c>
      <c r="N19" s="925"/>
      <c r="O19" s="50"/>
      <c r="P19" s="50"/>
    </row>
    <row r="20" spans="1:16" ht="24.75" customHeight="1"/>
    <row r="21" spans="1:16" s="52" customFormat="1" ht="15.75">
      <c r="A21" s="51"/>
      <c r="B21" s="930" t="s">
        <v>472</v>
      </c>
      <c r="C21" s="930"/>
      <c r="D21" s="930"/>
      <c r="E21" s="931"/>
      <c r="F21" s="931"/>
      <c r="G21" s="930" t="str">
        <f ca="1">'Исходник '!B12</f>
        <v>Евдокимов А.О.</v>
      </c>
      <c r="H21" s="930"/>
      <c r="I21" s="930"/>
    </row>
    <row r="22" spans="1:16">
      <c r="E22" s="932" t="s">
        <v>653</v>
      </c>
      <c r="F22" s="932"/>
    </row>
  </sheetData>
  <mergeCells count="74">
    <mergeCell ref="E22:F22"/>
    <mergeCell ref="D19:E19"/>
    <mergeCell ref="F19:G19"/>
    <mergeCell ref="H19:I19"/>
    <mergeCell ref="K19:L19"/>
    <mergeCell ref="B21:D21"/>
    <mergeCell ref="E21:F21"/>
    <mergeCell ref="G21:I21"/>
    <mergeCell ref="D17:E17"/>
    <mergeCell ref="F17:G17"/>
    <mergeCell ref="H17:I17"/>
    <mergeCell ref="K17:L17"/>
    <mergeCell ref="M19:N19"/>
    <mergeCell ref="D18:E18"/>
    <mergeCell ref="F18:G18"/>
    <mergeCell ref="H18:I18"/>
    <mergeCell ref="K18:L18"/>
    <mergeCell ref="M18:N18"/>
    <mergeCell ref="D15:E15"/>
    <mergeCell ref="F15:G15"/>
    <mergeCell ref="H15:I15"/>
    <mergeCell ref="K15:L15"/>
    <mergeCell ref="M17:N17"/>
    <mergeCell ref="D16:E16"/>
    <mergeCell ref="F16:G16"/>
    <mergeCell ref="H16:I16"/>
    <mergeCell ref="K16:L16"/>
    <mergeCell ref="M16:N16"/>
    <mergeCell ref="D13:E13"/>
    <mergeCell ref="F13:G13"/>
    <mergeCell ref="H13:I13"/>
    <mergeCell ref="K13:L13"/>
    <mergeCell ref="M15:N15"/>
    <mergeCell ref="D14:E14"/>
    <mergeCell ref="F14:G14"/>
    <mergeCell ref="H14:I14"/>
    <mergeCell ref="K14:L14"/>
    <mergeCell ref="M14:N14"/>
    <mergeCell ref="H8:I11"/>
    <mergeCell ref="J8:J11"/>
    <mergeCell ref="K8:L11"/>
    <mergeCell ref="M8:N11"/>
    <mergeCell ref="M13:N13"/>
    <mergeCell ref="D12:E12"/>
    <mergeCell ref="F12:G12"/>
    <mergeCell ref="H12:I12"/>
    <mergeCell ref="K12:L12"/>
    <mergeCell ref="M12:N12"/>
    <mergeCell ref="D8:E8"/>
    <mergeCell ref="F8:G8"/>
    <mergeCell ref="D9:E9"/>
    <mergeCell ref="F9:G9"/>
    <mergeCell ref="D10:E10"/>
    <mergeCell ref="F10:G10"/>
    <mergeCell ref="H6:J6"/>
    <mergeCell ref="A8:A11"/>
    <mergeCell ref="B8:B11"/>
    <mergeCell ref="C8:C11"/>
    <mergeCell ref="K6:L7"/>
    <mergeCell ref="A6:A7"/>
    <mergeCell ref="B6:B7"/>
    <mergeCell ref="C6:C7"/>
    <mergeCell ref="D11:E11"/>
    <mergeCell ref="F11:G11"/>
    <mergeCell ref="A5:N5"/>
    <mergeCell ref="H1:N1"/>
    <mergeCell ref="H2:N2"/>
    <mergeCell ref="H3:N3"/>
    <mergeCell ref="K4:N4"/>
    <mergeCell ref="M6:N7"/>
    <mergeCell ref="D7:E7"/>
    <mergeCell ref="F7:G7"/>
    <mergeCell ref="H7:I7"/>
    <mergeCell ref="D6:G6"/>
  </mergeCells>
  <phoneticPr fontId="0" type="noConversion"/>
  <pageMargins left="0.47222199999999998" right="0.39374999999999999" top="0.47986099999999998" bottom="0.51180599999999998" header="0.27013900000000002" footer="0.23611099999999999"/>
  <pageSetup paperSize="9" fitToWidth="0" orientation="landscape"/>
  <headerFooter>
    <oddFooter>&amp;CПеречень приборов к Т.О. №&amp;F, стр.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D46"/>
  <sheetViews>
    <sheetView workbookViewId="0">
      <selection activeCell="AD20" sqref="AD20"/>
    </sheetView>
  </sheetViews>
  <sheetFormatPr defaultRowHeight="12.75"/>
  <cols>
    <col min="1" max="1" width="1.85546875" style="7" customWidth="1"/>
    <col min="2" max="2" width="4.140625" style="7" customWidth="1"/>
    <col min="3" max="6" width="3.28515625" style="7" customWidth="1"/>
    <col min="7" max="7" width="5.28515625" style="7" customWidth="1"/>
    <col min="8" max="11" width="3.28515625" style="7" customWidth="1"/>
    <col min="12" max="12" width="2.5703125" style="7" customWidth="1"/>
    <col min="13" max="13" width="3.5703125" style="7" customWidth="1"/>
    <col min="14" max="14" width="2.28515625" style="7" customWidth="1"/>
    <col min="15" max="15" width="3.28515625" style="7" customWidth="1"/>
    <col min="16" max="16" width="4" style="7" customWidth="1"/>
    <col min="17" max="17" width="4.42578125" style="7" customWidth="1"/>
    <col min="18" max="18" width="3" style="7" customWidth="1"/>
    <col min="19" max="19" width="2.42578125" style="7" customWidth="1"/>
    <col min="20" max="20" width="2.28515625" style="7" customWidth="1"/>
    <col min="21" max="21" width="3.140625" style="7" customWidth="1"/>
    <col min="22" max="22" width="2.28515625" style="7" customWidth="1"/>
    <col min="23" max="23" width="8.28515625" style="7" customWidth="1"/>
    <col min="24" max="24" width="2.7109375" style="7" customWidth="1"/>
    <col min="25" max="25" width="2.28515625" style="7" customWidth="1"/>
    <col min="26" max="26" width="1.85546875" style="7" customWidth="1"/>
    <col min="27" max="27" width="5.28515625" style="7" customWidth="1"/>
    <col min="28" max="28" width="4.140625" style="7" customWidth="1"/>
    <col min="29" max="29" width="11" style="7" customWidth="1"/>
    <col min="30" max="16384" width="9.140625" style="7"/>
  </cols>
  <sheetData>
    <row r="1" spans="1:30" ht="15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9"/>
    </row>
    <row r="2" spans="1:30" ht="18" customHeight="1">
      <c r="A2" s="110"/>
      <c r="B2" s="9" t="str">
        <f ca="1">'Исходник '!B3</f>
        <v>ООО «ТМ-Электро»</v>
      </c>
      <c r="C2" s="15"/>
      <c r="D2"/>
      <c r="E2"/>
      <c r="F2"/>
      <c r="G2"/>
      <c r="H2"/>
      <c r="I2"/>
      <c r="J2"/>
      <c r="K2"/>
      <c r="L2"/>
      <c r="M2"/>
      <c r="N2"/>
      <c r="O2" s="9" t="s">
        <v>489</v>
      </c>
      <c r="P2"/>
      <c r="Q2"/>
      <c r="R2" s="496">
        <f ca="1">'Исходник '!B19</f>
        <v>0</v>
      </c>
      <c r="S2" s="470"/>
      <c r="T2" s="470"/>
      <c r="U2" s="470"/>
      <c r="V2" s="470"/>
      <c r="W2" s="470"/>
      <c r="X2" s="470"/>
      <c r="Y2" s="470"/>
      <c r="Z2" s="470"/>
      <c r="AA2" s="470"/>
      <c r="AB2" s="935"/>
    </row>
    <row r="3" spans="1:30" s="76" customFormat="1" ht="18" customHeight="1">
      <c r="A3" s="303"/>
      <c r="B3" s="504" t="s">
        <v>632</v>
      </c>
      <c r="C3" s="516"/>
      <c r="D3" s="516"/>
      <c r="E3" s="516"/>
      <c r="F3" s="516"/>
      <c r="G3" s="516"/>
      <c r="H3" s="298"/>
      <c r="I3" s="36"/>
      <c r="J3" s="36"/>
      <c r="K3" s="36"/>
      <c r="L3" s="36"/>
      <c r="M3" s="36"/>
      <c r="N3" s="55"/>
      <c r="O3" s="64" t="s">
        <v>491</v>
      </c>
      <c r="P3" s="55"/>
      <c r="Q3" s="68"/>
      <c r="R3" s="820" t="str">
        <f ca="1">'Исходник '!B20</f>
        <v>Фитнес-клуб</v>
      </c>
      <c r="S3" s="468"/>
      <c r="T3" s="468"/>
      <c r="U3" s="468"/>
      <c r="V3" s="468"/>
      <c r="W3" s="468"/>
      <c r="X3" s="468"/>
      <c r="Y3" s="468"/>
      <c r="Z3" s="468"/>
      <c r="AA3" s="468"/>
      <c r="AB3" s="936"/>
    </row>
    <row r="4" spans="1:30" s="76" customFormat="1" ht="18.75" customHeight="1">
      <c r="A4" s="303"/>
      <c r="B4" s="100" t="str">
        <f ca="1">CONCATENATE('Исходник '!A5," ",'Исходник '!B5)</f>
        <v>Свидетельство о регистрации № 6231-2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5"/>
      <c r="O4" s="64" t="s">
        <v>494</v>
      </c>
      <c r="P4" s="55"/>
      <c r="Q4" s="820">
        <f ca="1">'Исходник '!B21</f>
        <v>0</v>
      </c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936"/>
      <c r="AD4" s="69"/>
    </row>
    <row r="5" spans="1:30" s="76" customFormat="1" ht="18" customHeight="1">
      <c r="A5" s="303"/>
      <c r="B5" s="100" t="str">
        <f ca="1">CONCATENATE('Исходник '!A7," ",'Исходник '!B7)</f>
        <v xml:space="preserve">Действительно до «11» января 2022 г. 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55"/>
      <c r="O5" s="64" t="s">
        <v>633</v>
      </c>
      <c r="P5" s="55"/>
      <c r="Q5" s="59"/>
      <c r="R5" s="59"/>
      <c r="S5" s="59"/>
      <c r="T5" s="59"/>
      <c r="U5" s="55"/>
      <c r="V5" s="59"/>
      <c r="W5" s="59"/>
      <c r="X5" s="933" t="str">
        <f ca="1">'Исходник '!B34</f>
        <v>29 января 2020г.</v>
      </c>
      <c r="Y5" s="554"/>
      <c r="Z5" s="554"/>
      <c r="AA5" s="554"/>
      <c r="AB5" s="934"/>
    </row>
    <row r="6" spans="1:30" s="76" customFormat="1" ht="15.75">
      <c r="A6" s="303"/>
      <c r="B6" s="100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55"/>
      <c r="O6" s="262"/>
      <c r="P6" s="55"/>
      <c r="Q6" s="279"/>
      <c r="R6" s="279"/>
      <c r="S6" s="279"/>
      <c r="T6" s="279"/>
      <c r="U6" s="55"/>
      <c r="V6" s="279"/>
      <c r="W6" s="279"/>
      <c r="X6" s="933"/>
      <c r="Y6" s="554"/>
      <c r="Z6" s="554"/>
      <c r="AA6" s="554"/>
      <c r="AB6" s="934"/>
    </row>
    <row r="7" spans="1:30" s="76" customFormat="1" ht="15.75">
      <c r="A7" s="303"/>
      <c r="B7" s="100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55"/>
      <c r="O7" s="55"/>
      <c r="P7" s="262"/>
      <c r="Q7" s="55"/>
      <c r="R7" s="279"/>
      <c r="S7" s="279"/>
      <c r="T7" s="279"/>
      <c r="U7" s="279"/>
      <c r="V7" s="55"/>
      <c r="W7" s="279"/>
      <c r="X7" s="279"/>
      <c r="Y7" s="100"/>
      <c r="Z7" s="55"/>
      <c r="AA7" s="55"/>
      <c r="AB7" s="304"/>
    </row>
    <row r="8" spans="1:30" s="76" customFormat="1" ht="15.75">
      <c r="A8" s="303"/>
      <c r="B8" s="100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55"/>
      <c r="O8" s="55"/>
      <c r="P8" s="262"/>
      <c r="Q8" s="55"/>
      <c r="R8" s="279"/>
      <c r="S8" s="279"/>
      <c r="T8" s="279"/>
      <c r="U8" s="279"/>
      <c r="V8" s="55"/>
      <c r="W8" s="279"/>
      <c r="X8" s="279"/>
      <c r="Y8" s="100"/>
      <c r="Z8" s="55"/>
      <c r="AA8" s="55"/>
      <c r="AB8" s="304"/>
    </row>
    <row r="9" spans="1:30" s="76" customFormat="1" ht="15.75">
      <c r="A9" s="303"/>
      <c r="B9" s="100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55"/>
      <c r="O9" s="55"/>
      <c r="P9" s="262"/>
      <c r="Q9" s="55"/>
      <c r="R9" s="279"/>
      <c r="S9" s="279"/>
      <c r="T9" s="279"/>
      <c r="U9" s="279"/>
      <c r="V9" s="55"/>
      <c r="W9" s="279"/>
      <c r="X9" s="279"/>
      <c r="Y9" s="100"/>
      <c r="Z9" s="55"/>
      <c r="AA9" s="55"/>
      <c r="AB9" s="304"/>
    </row>
    <row r="10" spans="1:30" s="76" customFormat="1" ht="15.75">
      <c r="A10" s="303"/>
      <c r="B10" s="100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55"/>
      <c r="O10" s="55"/>
      <c r="P10" s="262"/>
      <c r="Q10" s="55"/>
      <c r="R10" s="279"/>
      <c r="S10" s="279"/>
      <c r="T10" s="279"/>
      <c r="U10" s="279"/>
      <c r="V10" s="55"/>
      <c r="W10" s="279"/>
      <c r="X10" s="279"/>
      <c r="Y10" s="100"/>
      <c r="Z10" s="55"/>
      <c r="AA10" s="55"/>
      <c r="AB10" s="304"/>
    </row>
    <row r="11" spans="1:30" s="76" customFormat="1" ht="22.5">
      <c r="A11" s="303"/>
      <c r="B11" s="937" t="s">
        <v>297</v>
      </c>
      <c r="C11" s="937"/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305"/>
    </row>
    <row r="12" spans="1:30" s="76" customFormat="1" ht="22.5">
      <c r="A12" s="303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5"/>
    </row>
    <row r="13" spans="1:30" s="76" customFormat="1" ht="22.5">
      <c r="A13" s="303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5"/>
    </row>
    <row r="14" spans="1:30" s="117" customFormat="1" ht="18.75">
      <c r="A14" s="116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8"/>
    </row>
    <row r="15" spans="1:30" s="117" customFormat="1" ht="41.25" customHeight="1">
      <c r="A15" s="116" t="s">
        <v>298</v>
      </c>
      <c r="H15" s="938" t="str">
        <f ca="1">'Исходник '!H14</f>
        <v>Щиты силовые и распределительные; вводные, распределительные и групповые линии.</v>
      </c>
      <c r="I15" s="938"/>
      <c r="J15" s="938"/>
      <c r="K15" s="938"/>
      <c r="L15" s="938"/>
      <c r="M15" s="938"/>
      <c r="N15" s="938"/>
      <c r="O15" s="938"/>
      <c r="P15" s="938"/>
      <c r="Q15" s="938"/>
      <c r="R15" s="938"/>
      <c r="S15" s="938"/>
      <c r="T15" s="938"/>
      <c r="U15" s="938"/>
      <c r="V15" s="938"/>
      <c r="W15" s="938"/>
      <c r="X15" s="938"/>
      <c r="Y15" s="938"/>
      <c r="Z15" s="938"/>
      <c r="AA15" s="938"/>
      <c r="AB15" s="939"/>
    </row>
    <row r="16" spans="1:30" s="117" customFormat="1" ht="18.75">
      <c r="A16" s="309"/>
      <c r="B16" s="310"/>
      <c r="C16" s="310"/>
      <c r="D16" s="310"/>
      <c r="E16" s="310"/>
      <c r="F16" s="310"/>
      <c r="G16" s="310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2"/>
    </row>
    <row r="17" spans="1:28" s="117" customFormat="1" ht="24.75" customHeight="1">
      <c r="A17" s="940" t="s">
        <v>299</v>
      </c>
      <c r="B17" s="554"/>
      <c r="C17" s="554"/>
      <c r="D17" s="554"/>
      <c r="E17" s="554"/>
      <c r="F17" s="554"/>
      <c r="G17" s="938">
        <f ca="1">'Исходник '!B21</f>
        <v>0</v>
      </c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313"/>
    </row>
    <row r="18" spans="1:28" s="117" customFormat="1" ht="20.100000000000001" customHeight="1">
      <c r="A18" s="116"/>
      <c r="AB18" s="308"/>
    </row>
    <row r="19" spans="1:28" s="117" customFormat="1" ht="15" customHeight="1">
      <c r="A19" s="116"/>
      <c r="AB19" s="308"/>
    </row>
    <row r="20" spans="1:28" s="315" customFormat="1" ht="54" customHeight="1">
      <c r="A20" s="941" t="str">
        <f ca="1">'Исходник '!H22</f>
        <v>Представленное для испытаний электрооборудование по результатам осмотра и измерений соответствует нормативной и проектной документации, за исключением замечаний, указанных в ведомости дефектов.</v>
      </c>
      <c r="B20" s="942"/>
      <c r="C20" s="942"/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314"/>
    </row>
    <row r="21" spans="1:28" s="115" customFormat="1" ht="20.100000000000001" customHeight="1">
      <c r="A21" s="112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V21" s="119"/>
      <c r="W21" s="119"/>
      <c r="X21" s="119"/>
      <c r="Y21" s="119"/>
      <c r="Z21" s="119"/>
      <c r="AA21" s="119"/>
      <c r="AB21" s="120"/>
    </row>
    <row r="22" spans="1:28" s="115" customFormat="1" ht="55.5" customHeight="1">
      <c r="A22" s="943" t="s">
        <v>790</v>
      </c>
      <c r="B22" s="631"/>
      <c r="C22" s="631"/>
      <c r="D22" s="631"/>
      <c r="E22" s="631"/>
      <c r="F22" s="631"/>
      <c r="G22" s="632" t="s">
        <v>749</v>
      </c>
      <c r="H22" s="632"/>
      <c r="I22" s="632"/>
      <c r="J22" s="632"/>
      <c r="K22" s="632"/>
      <c r="L22" s="632"/>
      <c r="M22" s="632"/>
      <c r="N22" s="58"/>
      <c r="O22" s="632"/>
      <c r="P22" s="632"/>
      <c r="Q22" s="632"/>
      <c r="R22" s="632"/>
      <c r="S22" s="632"/>
      <c r="T22"/>
      <c r="U22" s="632" t="str">
        <f ca="1">'Исходник '!B12</f>
        <v>Евдокимов А.О.</v>
      </c>
      <c r="V22" s="632"/>
      <c r="W22" s="632"/>
      <c r="X22" s="632"/>
      <c r="Y22" s="632"/>
      <c r="Z22" s="632"/>
      <c r="AA22" s="632"/>
      <c r="AB22" s="121"/>
    </row>
    <row r="23" spans="1:28" s="115" customFormat="1" ht="20.100000000000001" customHeight="1">
      <c r="A23" s="122"/>
      <c r="B23"/>
      <c r="C23"/>
      <c r="D23"/>
      <c r="E23"/>
      <c r="F23"/>
      <c r="G23" s="633" t="s">
        <v>751</v>
      </c>
      <c r="H23" s="633"/>
      <c r="I23" s="633"/>
      <c r="J23" s="633"/>
      <c r="K23" s="633"/>
      <c r="L23" s="633"/>
      <c r="M23" s="633"/>
      <c r="N23" s="633" t="s">
        <v>653</v>
      </c>
      <c r="O23" s="633"/>
      <c r="P23" s="633"/>
      <c r="Q23" s="633"/>
      <c r="R23" s="633"/>
      <c r="S23" s="633"/>
      <c r="T23"/>
      <c r="U23" s="633" t="s">
        <v>791</v>
      </c>
      <c r="V23" s="633"/>
      <c r="W23" s="633"/>
      <c r="X23" s="633"/>
      <c r="Y23" s="633"/>
      <c r="Z23" s="633"/>
      <c r="AA23" s="649"/>
      <c r="AB23" s="944"/>
    </row>
    <row r="24" spans="1:28" s="115" customFormat="1" ht="20.100000000000001" customHeight="1">
      <c r="A24" s="123"/>
      <c r="B24"/>
      <c r="C24"/>
      <c r="D24"/>
      <c r="E24"/>
      <c r="F24"/>
      <c r="G24" s="632" t="s">
        <v>792</v>
      </c>
      <c r="H24" s="632"/>
      <c r="I24" s="632"/>
      <c r="J24" s="632"/>
      <c r="K24" s="632"/>
      <c r="L24" s="632"/>
      <c r="M24" s="632"/>
      <c r="N24" s="58"/>
      <c r="O24" s="632"/>
      <c r="P24" s="632"/>
      <c r="Q24" s="632"/>
      <c r="R24" s="632"/>
      <c r="S24" s="632"/>
      <c r="T24"/>
      <c r="U24" s="632" t="str">
        <f ca="1">'Исходник '!B13</f>
        <v>Кокшаров С.В.</v>
      </c>
      <c r="V24" s="632"/>
      <c r="W24" s="632"/>
      <c r="X24" s="632"/>
      <c r="Y24" s="632"/>
      <c r="Z24" s="632"/>
      <c r="AA24" s="632"/>
      <c r="AB24" s="121"/>
    </row>
    <row r="25" spans="1:28" s="115" customFormat="1" ht="20.100000000000001" customHeight="1">
      <c r="A25" s="122"/>
      <c r="B25"/>
      <c r="C25"/>
      <c r="D25"/>
      <c r="E25"/>
      <c r="F25"/>
      <c r="G25" s="633" t="s">
        <v>751</v>
      </c>
      <c r="H25" s="633"/>
      <c r="I25" s="633"/>
      <c r="J25" s="633"/>
      <c r="K25" s="633"/>
      <c r="L25" s="633"/>
      <c r="M25" s="633"/>
      <c r="N25" s="633" t="s">
        <v>653</v>
      </c>
      <c r="O25" s="633"/>
      <c r="P25" s="633"/>
      <c r="Q25" s="633"/>
      <c r="R25" s="633"/>
      <c r="S25" s="633"/>
      <c r="T25"/>
      <c r="U25" s="633" t="s">
        <v>791</v>
      </c>
      <c r="V25" s="633"/>
      <c r="W25" s="633"/>
      <c r="X25" s="633"/>
      <c r="Y25" s="633"/>
      <c r="Z25" s="633"/>
      <c r="AA25" s="649"/>
      <c r="AB25" s="944"/>
    </row>
    <row r="26" spans="1:28" s="115" customFormat="1" ht="19.5" customHeight="1">
      <c r="A26" s="943" t="s">
        <v>300</v>
      </c>
      <c r="B26" s="631"/>
      <c r="C26" s="631"/>
      <c r="D26" s="631"/>
      <c r="E26" s="631"/>
      <c r="F26" s="631"/>
      <c r="G26" s="632" t="s">
        <v>749</v>
      </c>
      <c r="H26" s="632"/>
      <c r="I26" s="632"/>
      <c r="J26" s="632"/>
      <c r="K26" s="632"/>
      <c r="L26" s="632"/>
      <c r="M26" s="632"/>
      <c r="N26" s="58"/>
      <c r="O26" s="632"/>
      <c r="P26" s="632"/>
      <c r="Q26" s="632"/>
      <c r="R26" s="632"/>
      <c r="S26" s="632"/>
      <c r="T26"/>
      <c r="U26" s="632" t="str">
        <f ca="1">'Исходник '!B12</f>
        <v>Евдокимов А.О.</v>
      </c>
      <c r="V26" s="632"/>
      <c r="W26" s="632"/>
      <c r="X26" s="632"/>
      <c r="Y26" s="632"/>
      <c r="Z26" s="632"/>
      <c r="AA26" s="632"/>
      <c r="AB26" s="121"/>
    </row>
    <row r="27" spans="1:28" s="115" customFormat="1" ht="20.100000000000001" customHeight="1">
      <c r="A27" s="122"/>
      <c r="B27"/>
      <c r="C27"/>
      <c r="D27"/>
      <c r="E27"/>
      <c r="F27"/>
      <c r="G27" s="633" t="s">
        <v>751</v>
      </c>
      <c r="H27" s="633"/>
      <c r="I27" s="633"/>
      <c r="J27" s="633"/>
      <c r="K27" s="633"/>
      <c r="L27" s="633"/>
      <c r="M27" s="633"/>
      <c r="N27" s="633" t="s">
        <v>653</v>
      </c>
      <c r="O27" s="633"/>
      <c r="P27" s="633"/>
      <c r="Q27" s="633"/>
      <c r="R27" s="633"/>
      <c r="S27" s="633"/>
      <c r="T27"/>
      <c r="U27" s="633" t="s">
        <v>791</v>
      </c>
      <c r="V27" s="633"/>
      <c r="W27" s="633"/>
      <c r="X27" s="633"/>
      <c r="Y27" s="633"/>
      <c r="Z27" s="633"/>
      <c r="AA27" s="649"/>
      <c r="AB27" s="944"/>
    </row>
    <row r="28" spans="1:28" s="115" customFormat="1" ht="20.100000000000001" customHeight="1">
      <c r="A28" s="12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125"/>
    </row>
    <row r="29" spans="1:28" s="115" customFormat="1" ht="3" customHeight="1">
      <c r="A29" s="12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 s="125"/>
    </row>
    <row r="30" spans="1:28" s="115" customFormat="1" ht="10.5" customHeight="1">
      <c r="A30" s="112"/>
      <c r="B30" s="113"/>
      <c r="AB30" s="114"/>
    </row>
    <row r="31" spans="1:28" s="115" customFormat="1" ht="18.75" hidden="1">
      <c r="A31" s="112"/>
      <c r="B31" s="113"/>
      <c r="AB31" s="114"/>
    </row>
    <row r="32" spans="1:28" s="115" customFormat="1" ht="64.5" customHeight="1">
      <c r="A32" s="112"/>
      <c r="B32" s="113"/>
      <c r="AB32" s="114"/>
    </row>
    <row r="33" spans="1:30" s="115" customFormat="1" ht="43.5" customHeight="1">
      <c r="A33" s="112"/>
      <c r="B33" s="113"/>
      <c r="AB33" s="114"/>
    </row>
    <row r="34" spans="1:30" s="115" customFormat="1" ht="8.25" customHeight="1">
      <c r="A34" s="127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</row>
    <row r="35" spans="1:30" s="115" customFormat="1" ht="18.75">
      <c r="B35" s="113"/>
    </row>
    <row r="36" spans="1:30" s="115" customFormat="1" ht="18.75">
      <c r="B36" s="113"/>
    </row>
    <row r="37" spans="1:30" s="115" customFormat="1" ht="18.75">
      <c r="B37" s="113"/>
    </row>
    <row r="38" spans="1:30" s="115" customFormat="1" ht="18.75">
      <c r="B38" s="131"/>
    </row>
    <row r="39" spans="1:30" s="115" customFormat="1" ht="18.75"/>
    <row r="40" spans="1:30" s="115" customFormat="1" ht="18.75"/>
    <row r="41" spans="1:30" s="115" customFormat="1" ht="18.75"/>
    <row r="42" spans="1:30" s="115" customFormat="1" ht="18.75">
      <c r="AC42" s="2"/>
      <c r="AD42" s="7"/>
    </row>
    <row r="43" spans="1:30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0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0" ht="15">
      <c r="B45" s="21"/>
    </row>
    <row r="46" spans="1:30" ht="15.75">
      <c r="B46" s="6"/>
    </row>
  </sheetData>
  <mergeCells count="34">
    <mergeCell ref="G27:M27"/>
    <mergeCell ref="N27:S27"/>
    <mergeCell ref="U27:Z27"/>
    <mergeCell ref="AA27:AB27"/>
    <mergeCell ref="A26:F26"/>
    <mergeCell ref="G26:M26"/>
    <mergeCell ref="O26:S26"/>
    <mergeCell ref="U26:AA26"/>
    <mergeCell ref="G25:M25"/>
    <mergeCell ref="N25:S25"/>
    <mergeCell ref="U25:Z25"/>
    <mergeCell ref="AA25:AB25"/>
    <mergeCell ref="O22:S22"/>
    <mergeCell ref="U22:AA22"/>
    <mergeCell ref="G23:M23"/>
    <mergeCell ref="N23:S23"/>
    <mergeCell ref="U23:Z23"/>
    <mergeCell ref="AA23:AB23"/>
    <mergeCell ref="B11:AA11"/>
    <mergeCell ref="H15:AB15"/>
    <mergeCell ref="A17:F17"/>
    <mergeCell ref="G17:AA17"/>
    <mergeCell ref="G24:M24"/>
    <mergeCell ref="O24:S24"/>
    <mergeCell ref="U24:AA24"/>
    <mergeCell ref="A20:AA20"/>
    <mergeCell ref="A22:F22"/>
    <mergeCell ref="G22:M22"/>
    <mergeCell ref="X5:AB5"/>
    <mergeCell ref="R2:AB2"/>
    <mergeCell ref="B3:G3"/>
    <mergeCell ref="R3:AB3"/>
    <mergeCell ref="Q4:AB4"/>
    <mergeCell ref="X6:AB6"/>
  </mergeCells>
  <phoneticPr fontId="0" type="noConversion"/>
  <pageMargins left="0.63402800000000004" right="0.19652800000000001" top="0.59027799999999997" bottom="0.78749999999999998" header="0.51180599999999998" footer="0.19652800000000001"/>
  <pageSetup paperSize="9" fitToWidth="0"/>
  <headerFooter>
    <oddFooter>&amp;C&amp;A стр.&amp;P из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W51"/>
  <sheetViews>
    <sheetView workbookViewId="0">
      <selection activeCell="C16" sqref="C16:C21"/>
    </sheetView>
  </sheetViews>
  <sheetFormatPr defaultRowHeight="15.75"/>
  <cols>
    <col min="1" max="1" width="6" customWidth="1"/>
    <col min="2" max="2" width="10.28515625" customWidth="1"/>
    <col min="3" max="3" width="25.28515625" customWidth="1"/>
    <col min="4" max="4" width="3.42578125" customWidth="1"/>
    <col min="5" max="5" width="3.85546875" customWidth="1"/>
    <col min="6" max="6" width="5.28515625" customWidth="1"/>
    <col min="7" max="7" width="2" customWidth="1"/>
    <col min="8" max="8" width="2.5703125" customWidth="1"/>
    <col min="9" max="9" width="3.42578125" customWidth="1"/>
    <col min="10" max="10" width="1.140625" customWidth="1"/>
    <col min="11" max="11" width="2" customWidth="1"/>
    <col min="12" max="12" width="0.7109375" customWidth="1"/>
    <col min="13" max="13" width="2.42578125" customWidth="1"/>
    <col min="14" max="14" width="2.85546875" customWidth="1"/>
    <col min="15" max="15" width="2.28515625" customWidth="1"/>
    <col min="16" max="16" width="1" customWidth="1"/>
    <col min="17" max="17" width="2.42578125" customWidth="1"/>
    <col min="18" max="18" width="3.28515625" customWidth="1"/>
    <col min="19" max="19" width="3.7109375" customWidth="1"/>
    <col min="20" max="20" width="2.5703125" customWidth="1"/>
    <col min="21" max="21" width="2.28515625" customWidth="1"/>
    <col min="22" max="22" width="3.28515625" customWidth="1"/>
    <col min="23" max="23" width="4.140625" customWidth="1"/>
    <col min="24" max="24" width="3.28515625" customWidth="1"/>
    <col min="25" max="25" width="3.7109375" customWidth="1"/>
    <col min="26" max="26" width="2.5703125" customWidth="1"/>
    <col min="27" max="27" width="4.5703125" customWidth="1"/>
    <col min="28" max="30" width="3.2851562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5" width="8.5703125" customWidth="1"/>
    <col min="36" max="37" width="3.28515625" customWidth="1"/>
    <col min="38" max="38" width="9.140625" style="6"/>
    <col min="40" max="40" width="23.7109375" customWidth="1"/>
  </cols>
  <sheetData>
    <row r="1" spans="1:49">
      <c r="AN1" s="398"/>
    </row>
    <row r="2" spans="1:49" s="6" customFormat="1" ht="21" customHeight="1">
      <c r="A2" s="70"/>
      <c r="B2" s="9" t="str">
        <f ca="1">'Исходник '!B3</f>
        <v>ООО «ТМ-Электро»</v>
      </c>
      <c r="C2" s="9"/>
      <c r="D2" s="9"/>
      <c r="E2"/>
      <c r="F2"/>
      <c r="G2"/>
      <c r="H2"/>
      <c r="I2"/>
      <c r="J2"/>
      <c r="K2"/>
      <c r="L2"/>
      <c r="M2"/>
      <c r="N2"/>
      <c r="O2"/>
      <c r="P2"/>
      <c r="Q2" s="9" t="s">
        <v>489</v>
      </c>
      <c r="R2" s="9"/>
      <c r="S2" s="9"/>
      <c r="T2"/>
      <c r="U2" s="656">
        <f ca="1">'Исходник '!B19</f>
        <v>0</v>
      </c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/>
      <c r="AK2"/>
      <c r="AN2" s="397"/>
      <c r="AO2"/>
      <c r="AP2"/>
    </row>
    <row r="3" spans="1:49" s="59" customFormat="1" ht="17.25" customHeight="1">
      <c r="A3" s="66"/>
      <c r="B3" s="658" t="s">
        <v>853</v>
      </c>
      <c r="C3" s="602"/>
      <c r="D3" s="602"/>
      <c r="E3" s="36"/>
      <c r="F3" s="36"/>
      <c r="G3" s="55"/>
      <c r="H3" s="55"/>
      <c r="I3" s="55"/>
      <c r="J3" s="55"/>
      <c r="K3" s="55"/>
      <c r="L3" s="55"/>
      <c r="M3" s="55"/>
      <c r="N3" s="55"/>
      <c r="O3" s="55"/>
      <c r="P3" s="55"/>
      <c r="Q3" s="64" t="s">
        <v>491</v>
      </c>
      <c r="R3" s="10"/>
      <c r="S3" s="10"/>
      <c r="T3"/>
      <c r="U3" s="603" t="str">
        <f ca="1">'Исходник '!B20</f>
        <v>Фитнес-клуб</v>
      </c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"/>
      <c r="AK3" s="55"/>
      <c r="AN3" s="396"/>
      <c r="AO3"/>
      <c r="AP3"/>
    </row>
    <row r="4" spans="1:49" s="6" customFormat="1" ht="19.5" customHeight="1">
      <c r="A4" s="70"/>
      <c r="B4" s="59" t="str">
        <f ca="1">CONCATENATE('Исходник '!A5," ",'Исходник '!B5)</f>
        <v>Свидетельство о регистрации № 6231-2</v>
      </c>
      <c r="E4" s="70"/>
      <c r="F4" s="3"/>
      <c r="G4"/>
      <c r="H4"/>
      <c r="I4"/>
      <c r="J4"/>
      <c r="K4"/>
      <c r="L4"/>
      <c r="M4"/>
      <c r="N4"/>
      <c r="O4"/>
      <c r="P4"/>
      <c r="Q4" s="64" t="s">
        <v>494</v>
      </c>
      <c r="R4" s="10"/>
      <c r="S4"/>
      <c r="T4" s="196"/>
      <c r="U4" s="553">
        <f ca="1">'Исходник '!B21</f>
        <v>0</v>
      </c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/>
      <c r="AK4"/>
      <c r="AN4" s="385"/>
      <c r="AO4"/>
      <c r="AP4"/>
    </row>
    <row r="5" spans="1:49" s="6" customFormat="1" ht="18" customHeight="1">
      <c r="A5" s="70"/>
      <c r="B5" s="6" t="str">
        <f ca="1">CONCATENATE('Исходник '!A7," ",'Исходник '!B7)</f>
        <v xml:space="preserve">Действительно до «11» января 2022 г. </v>
      </c>
      <c r="E5" s="5"/>
      <c r="F5" s="5"/>
      <c r="G5"/>
      <c r="H5"/>
      <c r="I5"/>
      <c r="J5"/>
      <c r="K5"/>
      <c r="L5"/>
      <c r="M5"/>
      <c r="N5"/>
      <c r="O5"/>
      <c r="P5"/>
      <c r="Q5" s="9" t="s">
        <v>633</v>
      </c>
      <c r="R5"/>
      <c r="S5" s="10"/>
      <c r="T5"/>
      <c r="U5" s="5"/>
      <c r="V5" s="5"/>
      <c r="W5" s="5"/>
      <c r="X5" s="5"/>
      <c r="Y5"/>
      <c r="Z5" s="659" t="str">
        <f ca="1">'Исходник '!B34</f>
        <v>29 января 2020г.</v>
      </c>
      <c r="AA5" s="444"/>
      <c r="AB5" s="444"/>
      <c r="AC5" s="444"/>
      <c r="AD5" s="444"/>
      <c r="AE5" s="444"/>
      <c r="AF5" s="444"/>
      <c r="AG5" s="444"/>
      <c r="AH5" s="444"/>
      <c r="AI5" s="444"/>
      <c r="AJ5"/>
      <c r="AK5"/>
      <c r="AN5" s="385"/>
      <c r="AO5"/>
      <c r="AP5"/>
    </row>
    <row r="6" spans="1:49" s="6" customFormat="1" ht="18" customHeight="1">
      <c r="A6" s="651" t="str">
        <f ca="1">CONCATENATE('Исходник '!A16," ",'Исходник '!D14)</f>
        <v>Протокол  №505-3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/>
      <c r="AK6"/>
      <c r="AN6" s="385"/>
      <c r="AO6" s="385"/>
      <c r="AP6" s="385"/>
    </row>
    <row r="7" spans="1:49" s="6" customFormat="1" ht="18" customHeight="1">
      <c r="A7" s="660" t="s">
        <v>301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/>
      <c r="AK7"/>
      <c r="AN7" s="385"/>
      <c r="AO7" s="385"/>
      <c r="AP7"/>
    </row>
    <row r="8" spans="1:49" s="6" customFormat="1" ht="18" customHeight="1">
      <c r="A8" s="651" t="s">
        <v>518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/>
      <c r="AK8"/>
    </row>
    <row r="9" spans="1:49" ht="18" customHeight="1">
      <c r="A9" s="7"/>
      <c r="B9" s="88"/>
      <c r="C9" s="270" t="str">
        <f ca="1">'Исходник '!A36</f>
        <v>Температура воздуха:</v>
      </c>
      <c r="D9" s="72">
        <f ca="1">'Исходник '!B36</f>
        <v>21</v>
      </c>
      <c r="E9" s="7" t="s">
        <v>855</v>
      </c>
      <c r="F9" s="653" t="str">
        <f ca="1">'Исходник '!A37</f>
        <v>Влажность воздуха:</v>
      </c>
      <c r="G9" s="653"/>
      <c r="H9" s="653"/>
      <c r="I9" s="653"/>
      <c r="J9" s="653"/>
      <c r="K9" s="653"/>
      <c r="L9" s="653"/>
      <c r="M9" s="653"/>
      <c r="N9" s="7">
        <f ca="1">'Исходник '!B37</f>
        <v>58</v>
      </c>
      <c r="O9" s="7" t="str">
        <f ca="1">'Исходник '!C37</f>
        <v>%.</v>
      </c>
      <c r="P9" s="653" t="str">
        <f ca="1">'Исходник '!A38</f>
        <v>Атмосферное давление:</v>
      </c>
      <c r="Q9" s="653"/>
      <c r="R9" s="653"/>
      <c r="S9" s="653"/>
      <c r="T9" s="653"/>
      <c r="U9" s="653"/>
      <c r="V9" s="779"/>
      <c r="W9" s="779"/>
      <c r="X9" s="779"/>
      <c r="Y9" s="7">
        <f ca="1">'Исходник '!B38</f>
        <v>741</v>
      </c>
      <c r="Z9" s="7"/>
      <c r="AA9" s="7" t="str">
        <f ca="1">'Исходник '!C38</f>
        <v xml:space="preserve"> мм.рт.ст.</v>
      </c>
      <c r="AB9" s="7"/>
      <c r="AC9" s="7"/>
      <c r="AK9" s="6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</row>
    <row r="10" spans="1:49" s="6" customFormat="1" ht="18" customHeight="1">
      <c r="A10" s="651" t="s">
        <v>857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  <c r="AC10" s="651"/>
      <c r="AD10" s="651"/>
      <c r="AE10" s="651"/>
      <c r="AF10" s="651"/>
      <c r="AG10" s="651"/>
      <c r="AH10" s="651"/>
      <c r="AI10" s="651"/>
      <c r="AJ10"/>
      <c r="AK10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</row>
    <row r="11" spans="1:49" s="6" customFormat="1" ht="18" customHeight="1">
      <c r="A11" s="508" t="str">
        <f ca="1">'Исходник '!B23</f>
        <v>эксплуатационные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/>
      <c r="AK11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</row>
    <row r="12" spans="1:49" s="242" customFormat="1" ht="18" customHeight="1">
      <c r="A12" s="606" t="s">
        <v>802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282"/>
      <c r="AK12" s="282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</row>
    <row r="13" spans="1:49" s="6" customFormat="1" ht="18" customHeight="1">
      <c r="A13" s="651" t="s">
        <v>858</v>
      </c>
      <c r="B13" s="651"/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/>
      <c r="AK13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</row>
    <row r="14" spans="1:49" s="6" customFormat="1" ht="18" customHeight="1">
      <c r="A14" s="964" t="s">
        <v>302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/>
      <c r="AK14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</row>
    <row r="15" spans="1:49" ht="18" customHeight="1">
      <c r="A15" s="664" t="s">
        <v>804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</row>
    <row r="16" spans="1:49" ht="36" customHeight="1">
      <c r="A16" s="545" t="s">
        <v>540</v>
      </c>
      <c r="B16" s="958" t="s">
        <v>303</v>
      </c>
      <c r="C16" s="693" t="s">
        <v>304</v>
      </c>
      <c r="D16" s="665" t="s">
        <v>305</v>
      </c>
      <c r="E16" s="486"/>
      <c r="F16" s="665" t="s">
        <v>306</v>
      </c>
      <c r="G16" s="625"/>
      <c r="H16" s="625"/>
      <c r="I16" s="665" t="s">
        <v>307</v>
      </c>
      <c r="J16" s="625"/>
      <c r="K16" s="625"/>
      <c r="L16" s="625"/>
      <c r="M16" s="625"/>
      <c r="N16" s="625"/>
      <c r="O16" s="625"/>
      <c r="P16" s="625"/>
      <c r="Q16" s="486"/>
      <c r="R16" s="956" t="s">
        <v>308</v>
      </c>
      <c r="S16" s="945"/>
      <c r="T16" s="945"/>
      <c r="U16" s="945"/>
      <c r="V16" s="945"/>
      <c r="W16" s="945"/>
      <c r="X16" s="945"/>
      <c r="Y16" s="945"/>
      <c r="Z16" s="945"/>
      <c r="AA16" s="947" t="s">
        <v>309</v>
      </c>
      <c r="AB16" s="948"/>
      <c r="AC16" s="949"/>
      <c r="AD16" s="665" t="s">
        <v>310</v>
      </c>
      <c r="AE16" s="625"/>
      <c r="AF16" s="625"/>
      <c r="AG16" s="625"/>
      <c r="AH16" s="625"/>
      <c r="AI16" s="486"/>
      <c r="AL16" s="384"/>
      <c r="AM16" s="384"/>
      <c r="AN16" s="393" t="s">
        <v>311</v>
      </c>
      <c r="AO16" s="384"/>
      <c r="AP16" s="965" t="s">
        <v>312</v>
      </c>
      <c r="AQ16" s="966"/>
      <c r="AR16" s="392"/>
      <c r="AS16" s="392"/>
      <c r="AT16" s="392"/>
      <c r="AU16" s="384"/>
      <c r="AV16" s="384"/>
      <c r="AW16" s="384"/>
    </row>
    <row r="17" spans="1:49" ht="15.75" customHeight="1">
      <c r="A17" s="545"/>
      <c r="B17" s="959"/>
      <c r="C17" s="960"/>
      <c r="D17" s="626"/>
      <c r="E17" s="627"/>
      <c r="F17" s="626"/>
      <c r="G17" s="556"/>
      <c r="H17" s="556"/>
      <c r="I17" s="626"/>
      <c r="J17" s="556"/>
      <c r="K17" s="556"/>
      <c r="L17" s="556"/>
      <c r="M17" s="556"/>
      <c r="N17" s="556"/>
      <c r="O17" s="556"/>
      <c r="P17" s="556"/>
      <c r="Q17" s="627"/>
      <c r="R17" s="957"/>
      <c r="S17" s="945"/>
      <c r="T17" s="945"/>
      <c r="U17" s="945"/>
      <c r="V17" s="945"/>
      <c r="W17" s="945"/>
      <c r="X17" s="945"/>
      <c r="Y17" s="945"/>
      <c r="Z17" s="945"/>
      <c r="AA17" s="950"/>
      <c r="AB17" s="951"/>
      <c r="AC17" s="952"/>
      <c r="AD17" s="626"/>
      <c r="AE17" s="556"/>
      <c r="AF17" s="556"/>
      <c r="AG17" s="556"/>
      <c r="AH17" s="556"/>
      <c r="AI17" s="627"/>
      <c r="AL17" s="384"/>
      <c r="AM17" s="384"/>
      <c r="AN17" s="389" t="s">
        <v>313</v>
      </c>
      <c r="AO17" s="384"/>
      <c r="AP17" s="953" t="s">
        <v>314</v>
      </c>
      <c r="AQ17" s="954"/>
      <c r="AR17" s="392"/>
      <c r="AS17" s="392"/>
      <c r="AT17" s="392"/>
      <c r="AU17" s="384"/>
      <c r="AV17" s="384"/>
      <c r="AW17" s="384"/>
    </row>
    <row r="18" spans="1:49" ht="15.75" customHeight="1">
      <c r="A18" s="545"/>
      <c r="B18" s="959"/>
      <c r="C18" s="960"/>
      <c r="D18" s="626"/>
      <c r="E18" s="627"/>
      <c r="F18" s="626"/>
      <c r="G18" s="556"/>
      <c r="H18" s="556"/>
      <c r="I18" s="481"/>
      <c r="J18" s="628"/>
      <c r="K18" s="628"/>
      <c r="L18" s="628"/>
      <c r="M18" s="628"/>
      <c r="N18" s="628"/>
      <c r="O18" s="628"/>
      <c r="P18" s="628"/>
      <c r="Q18" s="482"/>
      <c r="R18" s="957"/>
      <c r="S18" s="945"/>
      <c r="T18" s="945"/>
      <c r="U18" s="945"/>
      <c r="V18" s="945"/>
      <c r="W18" s="945"/>
      <c r="X18" s="945"/>
      <c r="Y18" s="945"/>
      <c r="Z18" s="945"/>
      <c r="AA18" s="950"/>
      <c r="AB18" s="951"/>
      <c r="AC18" s="952"/>
      <c r="AD18" s="626"/>
      <c r="AE18" s="556"/>
      <c r="AF18" s="556"/>
      <c r="AG18" s="556"/>
      <c r="AH18" s="556"/>
      <c r="AI18" s="627"/>
      <c r="AL18" s="384"/>
      <c r="AM18" s="384"/>
      <c r="AN18" s="389" t="s">
        <v>315</v>
      </c>
      <c r="AO18" s="384"/>
      <c r="AP18" s="955"/>
      <c r="AQ18" s="955"/>
      <c r="AR18" s="384"/>
      <c r="AS18" s="384"/>
      <c r="AT18" s="384"/>
      <c r="AU18" s="384"/>
      <c r="AV18" s="384"/>
      <c r="AW18" s="384"/>
    </row>
    <row r="19" spans="1:49" ht="15.75" customHeight="1">
      <c r="A19" s="545"/>
      <c r="B19" s="959"/>
      <c r="C19" s="960"/>
      <c r="D19" s="626"/>
      <c r="E19" s="627"/>
      <c r="F19" s="626"/>
      <c r="G19" s="556"/>
      <c r="H19" s="556"/>
      <c r="I19" s="961" t="s">
        <v>316</v>
      </c>
      <c r="J19" s="785"/>
      <c r="K19" s="785"/>
      <c r="L19" s="785"/>
      <c r="M19" s="786"/>
      <c r="N19" s="961" t="s">
        <v>317</v>
      </c>
      <c r="O19" s="785"/>
      <c r="P19" s="785"/>
      <c r="Q19" s="786"/>
      <c r="R19" s="957" t="s">
        <v>318</v>
      </c>
      <c r="S19" s="945"/>
      <c r="T19" s="945"/>
      <c r="U19" s="945" t="s">
        <v>319</v>
      </c>
      <c r="V19" s="945"/>
      <c r="W19" s="945"/>
      <c r="X19" s="945" t="s">
        <v>320</v>
      </c>
      <c r="Y19" s="945"/>
      <c r="Z19" s="945"/>
      <c r="AA19" s="950"/>
      <c r="AB19" s="951"/>
      <c r="AC19" s="952"/>
      <c r="AD19" s="626"/>
      <c r="AE19" s="556"/>
      <c r="AF19" s="556"/>
      <c r="AG19" s="556"/>
      <c r="AH19" s="556"/>
      <c r="AI19" s="627"/>
      <c r="AL19" s="384"/>
      <c r="AM19" s="384"/>
      <c r="AN19" s="389" t="s">
        <v>321</v>
      </c>
      <c r="AP19" s="955"/>
      <c r="AQ19" s="955"/>
      <c r="AR19" s="384"/>
      <c r="AS19" s="384"/>
      <c r="AT19" s="384"/>
      <c r="AU19" s="384"/>
      <c r="AV19" s="384"/>
      <c r="AW19" s="384"/>
    </row>
    <row r="20" spans="1:49" ht="15.75" customHeight="1">
      <c r="A20" s="545"/>
      <c r="B20" s="959"/>
      <c r="C20" s="960"/>
      <c r="D20" s="626"/>
      <c r="E20" s="627"/>
      <c r="F20" s="626"/>
      <c r="G20" s="556"/>
      <c r="H20" s="556"/>
      <c r="I20" s="962"/>
      <c r="J20" s="788"/>
      <c r="K20" s="788"/>
      <c r="L20" s="788"/>
      <c r="M20" s="789"/>
      <c r="N20" s="962"/>
      <c r="O20" s="788"/>
      <c r="P20" s="788"/>
      <c r="Q20" s="789"/>
      <c r="R20" s="957"/>
      <c r="S20" s="945"/>
      <c r="T20" s="945"/>
      <c r="U20" s="945"/>
      <c r="V20" s="945"/>
      <c r="W20" s="945"/>
      <c r="X20" s="945"/>
      <c r="Y20" s="945"/>
      <c r="Z20" s="945"/>
      <c r="AA20" s="950"/>
      <c r="AB20" s="951"/>
      <c r="AC20" s="952"/>
      <c r="AD20" s="626"/>
      <c r="AE20" s="556"/>
      <c r="AF20" s="556"/>
      <c r="AG20" s="556"/>
      <c r="AH20" s="556"/>
      <c r="AI20" s="627"/>
      <c r="AL20" s="387"/>
      <c r="AM20" s="387"/>
      <c r="AN20" s="389" t="s">
        <v>322</v>
      </c>
      <c r="AO20" s="387"/>
      <c r="AP20" s="955"/>
      <c r="AQ20" s="955"/>
      <c r="AR20" s="387"/>
      <c r="AS20" s="387"/>
      <c r="AT20" s="387"/>
      <c r="AU20" s="387"/>
      <c r="AV20" s="391"/>
      <c r="AW20" s="387"/>
    </row>
    <row r="21" spans="1:49" ht="54.75" customHeight="1">
      <c r="A21" s="665"/>
      <c r="B21" s="959"/>
      <c r="C21" s="960"/>
      <c r="D21" s="626"/>
      <c r="E21" s="627"/>
      <c r="F21" s="626"/>
      <c r="G21" s="556"/>
      <c r="H21" s="556"/>
      <c r="I21" s="962"/>
      <c r="J21" s="788"/>
      <c r="K21" s="788"/>
      <c r="L21" s="788"/>
      <c r="M21" s="789"/>
      <c r="N21" s="962"/>
      <c r="O21" s="788"/>
      <c r="P21" s="788"/>
      <c r="Q21" s="789"/>
      <c r="R21" s="949"/>
      <c r="S21" s="946"/>
      <c r="T21" s="946"/>
      <c r="U21" s="946"/>
      <c r="V21" s="946"/>
      <c r="W21" s="946"/>
      <c r="X21" s="946"/>
      <c r="Y21" s="946"/>
      <c r="Z21" s="946"/>
      <c r="AA21" s="950"/>
      <c r="AB21" s="951"/>
      <c r="AC21" s="952"/>
      <c r="AD21" s="481"/>
      <c r="AE21" s="628"/>
      <c r="AF21" s="628"/>
      <c r="AG21" s="628"/>
      <c r="AH21" s="628"/>
      <c r="AI21" s="482"/>
      <c r="AL21" s="387"/>
      <c r="AM21" s="387"/>
      <c r="AN21" s="390" t="s">
        <v>323</v>
      </c>
      <c r="AO21" s="390">
        <v>18.8</v>
      </c>
      <c r="AP21" s="955"/>
      <c r="AQ21" s="955"/>
      <c r="AR21" s="387"/>
      <c r="AS21" s="387"/>
      <c r="AT21" s="387"/>
      <c r="AU21" s="387"/>
      <c r="AV21" s="387"/>
      <c r="AW21" s="387"/>
    </row>
    <row r="22" spans="1:49" s="86" customFormat="1" ht="20.100000000000001" customHeight="1">
      <c r="A22" s="155">
        <v>1</v>
      </c>
      <c r="B22" s="155">
        <v>2</v>
      </c>
      <c r="C22" s="155">
        <v>3</v>
      </c>
      <c r="D22" s="671">
        <v>4</v>
      </c>
      <c r="E22" s="797"/>
      <c r="F22" s="967">
        <v>5</v>
      </c>
      <c r="G22" s="967"/>
      <c r="H22" s="967"/>
      <c r="I22" s="967">
        <v>6</v>
      </c>
      <c r="J22" s="797"/>
      <c r="K22" s="797"/>
      <c r="L22" s="797"/>
      <c r="M22" s="797"/>
      <c r="N22" s="671">
        <v>7</v>
      </c>
      <c r="O22" s="671"/>
      <c r="P22" s="671"/>
      <c r="Q22" s="671"/>
      <c r="R22" s="671">
        <v>8</v>
      </c>
      <c r="S22" s="671"/>
      <c r="T22" s="671"/>
      <c r="U22" s="671">
        <v>9</v>
      </c>
      <c r="V22" s="671"/>
      <c r="W22" s="671"/>
      <c r="X22" s="671">
        <v>10</v>
      </c>
      <c r="Y22" s="671"/>
      <c r="Z22" s="671"/>
      <c r="AA22" s="671">
        <v>11</v>
      </c>
      <c r="AB22" s="671"/>
      <c r="AC22" s="671"/>
      <c r="AD22" s="703">
        <v>13</v>
      </c>
      <c r="AE22" s="963"/>
      <c r="AF22" s="963"/>
      <c r="AG22" s="897"/>
      <c r="AH22" s="963"/>
      <c r="AI22" s="704"/>
      <c r="AL22" s="387"/>
      <c r="AM22" s="387"/>
      <c r="AN22" s="389" t="s">
        <v>324</v>
      </c>
      <c r="AO22" s="387"/>
      <c r="AP22" s="955"/>
      <c r="AQ22" s="955"/>
      <c r="AR22" s="387"/>
      <c r="AS22" s="387"/>
      <c r="AT22" s="387"/>
      <c r="AU22" s="387"/>
      <c r="AV22" s="387"/>
      <c r="AW22" s="387"/>
    </row>
    <row r="23" spans="1:49" s="341" customFormat="1" ht="20.25" customHeight="1">
      <c r="A23" s="380">
        <v>1</v>
      </c>
      <c r="B23" s="380" t="s">
        <v>325</v>
      </c>
      <c r="C23" s="380" t="s">
        <v>326</v>
      </c>
      <c r="D23" s="622" t="s">
        <v>589</v>
      </c>
      <c r="E23" s="799"/>
      <c r="F23" s="622">
        <v>95</v>
      </c>
      <c r="G23" s="968"/>
      <c r="H23" s="799"/>
      <c r="I23" s="969">
        <f>100*1000/F23</f>
        <v>1052.6315789473683</v>
      </c>
      <c r="J23" s="970"/>
      <c r="K23" s="970"/>
      <c r="L23" s="970"/>
      <c r="M23" s="971"/>
      <c r="N23" s="972">
        <f>F23*2*18.8/1000</f>
        <v>3.5720000000000001</v>
      </c>
      <c r="O23" s="973"/>
      <c r="P23" s="973"/>
      <c r="Q23" s="974"/>
      <c r="R23" s="622"/>
      <c r="S23" s="968"/>
      <c r="T23" s="799"/>
      <c r="U23" s="622"/>
      <c r="V23" s="968"/>
      <c r="W23" s="799"/>
      <c r="X23" s="622"/>
      <c r="Y23" s="968"/>
      <c r="Z23" s="799"/>
      <c r="AA23" s="622"/>
      <c r="AB23" s="968"/>
      <c r="AC23" s="799"/>
      <c r="AD23" s="622" t="s">
        <v>327</v>
      </c>
      <c r="AE23" s="736"/>
      <c r="AF23" s="736"/>
      <c r="AG23" s="736"/>
      <c r="AH23" s="736"/>
      <c r="AI23" s="464"/>
      <c r="AL23" s="388"/>
      <c r="AM23" s="388"/>
      <c r="AN23" s="389" t="s">
        <v>328</v>
      </c>
      <c r="AO23" s="388"/>
      <c r="AP23" s="388"/>
      <c r="AQ23" s="388"/>
      <c r="AR23" s="388"/>
      <c r="AS23" s="388"/>
      <c r="AT23" s="388"/>
      <c r="AU23" s="388"/>
      <c r="AV23" s="388"/>
      <c r="AW23" s="388"/>
    </row>
    <row r="24" spans="1:49" s="341" customFormat="1" ht="20.25" customHeight="1">
      <c r="A24" s="380">
        <v>2</v>
      </c>
      <c r="B24" s="380" t="s">
        <v>329</v>
      </c>
      <c r="C24" s="380" t="s">
        <v>326</v>
      </c>
      <c r="D24" s="622" t="s">
        <v>589</v>
      </c>
      <c r="E24" s="799"/>
      <c r="F24" s="622">
        <v>90</v>
      </c>
      <c r="G24" s="968"/>
      <c r="H24" s="799"/>
      <c r="I24" s="969">
        <f>100*1000/F24</f>
        <v>1111.1111111111111</v>
      </c>
      <c r="J24" s="970"/>
      <c r="K24" s="970"/>
      <c r="L24" s="970"/>
      <c r="M24" s="971"/>
      <c r="N24" s="972">
        <f>F24*2*18.8/1000</f>
        <v>3.3839999999999999</v>
      </c>
      <c r="O24" s="973"/>
      <c r="P24" s="973"/>
      <c r="Q24" s="974"/>
      <c r="R24" s="622"/>
      <c r="S24" s="968"/>
      <c r="T24" s="799"/>
      <c r="U24" s="622"/>
      <c r="V24" s="968"/>
      <c r="W24" s="799"/>
      <c r="X24" s="622"/>
      <c r="Y24" s="968"/>
      <c r="Z24" s="799"/>
      <c r="AA24" s="622"/>
      <c r="AB24" s="968"/>
      <c r="AC24" s="799"/>
      <c r="AD24" s="622" t="s">
        <v>327</v>
      </c>
      <c r="AE24" s="736"/>
      <c r="AF24" s="736"/>
      <c r="AG24" s="736"/>
      <c r="AH24" s="736"/>
      <c r="AI24" s="464"/>
      <c r="AL24" s="388"/>
      <c r="AM24" s="388"/>
      <c r="AN24" s="389" t="s">
        <v>328</v>
      </c>
      <c r="AO24" s="388"/>
      <c r="AP24" s="388"/>
      <c r="AQ24" s="388"/>
      <c r="AR24" s="388"/>
      <c r="AS24" s="388"/>
      <c r="AT24" s="388"/>
      <c r="AU24" s="388"/>
      <c r="AV24" s="388"/>
      <c r="AW24" s="388"/>
    </row>
    <row r="25" spans="1:49" s="341" customFormat="1" ht="20.25" customHeight="1">
      <c r="A25" s="380">
        <v>3</v>
      </c>
      <c r="B25" s="380" t="s">
        <v>330</v>
      </c>
      <c r="C25" s="380" t="s">
        <v>326</v>
      </c>
      <c r="D25" s="622" t="s">
        <v>589</v>
      </c>
      <c r="E25" s="799"/>
      <c r="F25" s="622">
        <v>3</v>
      </c>
      <c r="G25" s="968"/>
      <c r="H25" s="799"/>
      <c r="I25" s="969">
        <f>100*1000/F25</f>
        <v>33333.333333333336</v>
      </c>
      <c r="J25" s="970"/>
      <c r="K25" s="970"/>
      <c r="L25" s="970"/>
      <c r="M25" s="971"/>
      <c r="N25" s="972">
        <f>F25*2*18.8/1000</f>
        <v>0.11280000000000001</v>
      </c>
      <c r="O25" s="973"/>
      <c r="P25" s="973"/>
      <c r="Q25" s="974"/>
      <c r="R25" s="622"/>
      <c r="S25" s="968"/>
      <c r="T25" s="799"/>
      <c r="U25" s="622"/>
      <c r="V25" s="968"/>
      <c r="W25" s="799"/>
      <c r="X25" s="622"/>
      <c r="Y25" s="968"/>
      <c r="Z25" s="799"/>
      <c r="AA25" s="622"/>
      <c r="AB25" s="968"/>
      <c r="AC25" s="799"/>
      <c r="AD25" s="622" t="s">
        <v>327</v>
      </c>
      <c r="AE25" s="736"/>
      <c r="AF25" s="736"/>
      <c r="AG25" s="736"/>
      <c r="AH25" s="736"/>
      <c r="AI25" s="464"/>
      <c r="AL25" s="388"/>
      <c r="AM25" s="388"/>
      <c r="AN25" s="389" t="s">
        <v>328</v>
      </c>
      <c r="AO25" s="388"/>
      <c r="AP25" s="388"/>
      <c r="AQ25" s="388"/>
      <c r="AR25" s="388"/>
      <c r="AS25" s="388"/>
      <c r="AT25" s="388"/>
      <c r="AU25" s="388"/>
      <c r="AV25" s="388"/>
      <c r="AW25" s="388"/>
    </row>
    <row r="26" spans="1:49" s="341" customFormat="1" ht="20.25" customHeight="1">
      <c r="A26" s="709">
        <v>4</v>
      </c>
      <c r="B26" s="709" t="s">
        <v>330</v>
      </c>
      <c r="C26" s="709" t="s">
        <v>331</v>
      </c>
      <c r="D26" s="622">
        <v>1</v>
      </c>
      <c r="E26" s="799"/>
      <c r="F26" s="622">
        <v>35</v>
      </c>
      <c r="G26" s="968"/>
      <c r="H26" s="799"/>
      <c r="I26" s="969">
        <f>100*1000/F26</f>
        <v>2857.1428571428573</v>
      </c>
      <c r="J26" s="970"/>
      <c r="K26" s="970"/>
      <c r="L26" s="970"/>
      <c r="M26" s="971"/>
      <c r="N26" s="972">
        <f>F26*2*18.8/1000</f>
        <v>1.3160000000000001</v>
      </c>
      <c r="O26" s="973"/>
      <c r="P26" s="973"/>
      <c r="Q26" s="974"/>
      <c r="R26" s="622"/>
      <c r="S26" s="968"/>
      <c r="T26" s="799"/>
      <c r="U26" s="622"/>
      <c r="V26" s="968"/>
      <c r="W26" s="799"/>
      <c r="X26" s="622"/>
      <c r="Y26" s="968"/>
      <c r="Z26" s="799"/>
      <c r="AA26" s="622"/>
      <c r="AB26" s="968"/>
      <c r="AC26" s="799"/>
      <c r="AD26" s="622" t="s">
        <v>327</v>
      </c>
      <c r="AE26" s="736"/>
      <c r="AF26" s="736"/>
      <c r="AG26" s="736"/>
      <c r="AH26" s="736"/>
      <c r="AI26" s="464"/>
      <c r="AL26" s="388"/>
      <c r="AM26" s="388"/>
      <c r="AN26" s="389"/>
      <c r="AO26" s="388"/>
      <c r="AP26" s="388"/>
      <c r="AQ26" s="388"/>
      <c r="AR26" s="388"/>
      <c r="AS26" s="388"/>
      <c r="AT26" s="388"/>
      <c r="AU26" s="388"/>
      <c r="AV26" s="388"/>
      <c r="AW26" s="388"/>
    </row>
    <row r="27" spans="1:49" s="341" customFormat="1" ht="20.25" customHeight="1">
      <c r="A27" s="484"/>
      <c r="B27" s="719"/>
      <c r="C27" s="484"/>
      <c r="D27" s="622">
        <v>2</v>
      </c>
      <c r="E27" s="799"/>
      <c r="F27" s="622">
        <v>35</v>
      </c>
      <c r="G27" s="968"/>
      <c r="H27" s="799"/>
      <c r="I27" s="969">
        <f>100*1000/F27</f>
        <v>2857.1428571428573</v>
      </c>
      <c r="J27" s="970"/>
      <c r="K27" s="970"/>
      <c r="L27" s="970"/>
      <c r="M27" s="971"/>
      <c r="N27" s="972">
        <f>F27*2*18.8/1000</f>
        <v>1.3160000000000001</v>
      </c>
      <c r="O27" s="973"/>
      <c r="P27" s="973"/>
      <c r="Q27" s="974"/>
      <c r="R27" s="622"/>
      <c r="S27" s="968"/>
      <c r="T27" s="799"/>
      <c r="U27" s="622"/>
      <c r="V27" s="968"/>
      <c r="W27" s="799"/>
      <c r="X27" s="622"/>
      <c r="Y27" s="968"/>
      <c r="Z27" s="799"/>
      <c r="AA27" s="622"/>
      <c r="AB27" s="968"/>
      <c r="AC27" s="799"/>
      <c r="AD27" s="622" t="s">
        <v>327</v>
      </c>
      <c r="AE27" s="736"/>
      <c r="AF27" s="736"/>
      <c r="AG27" s="736"/>
      <c r="AH27" s="736"/>
      <c r="AI27" s="464"/>
      <c r="AL27" s="388"/>
      <c r="AM27" s="388"/>
      <c r="AN27" s="389"/>
      <c r="AO27" s="388"/>
      <c r="AP27" s="388"/>
      <c r="AQ27" s="388"/>
      <c r="AR27" s="388"/>
      <c r="AS27" s="388"/>
      <c r="AT27" s="388"/>
      <c r="AU27" s="388"/>
      <c r="AV27" s="388"/>
      <c r="AW27" s="388"/>
    </row>
    <row r="28" spans="1:49" s="341" customFormat="1" ht="20.25" customHeight="1">
      <c r="A28" s="380"/>
      <c r="B28" s="380"/>
      <c r="C28" s="380"/>
      <c r="D28" s="622"/>
      <c r="E28" s="799"/>
      <c r="F28" s="622"/>
      <c r="G28" s="968"/>
      <c r="H28" s="799"/>
      <c r="I28" s="622"/>
      <c r="J28" s="968"/>
      <c r="K28" s="968"/>
      <c r="L28" s="968"/>
      <c r="M28" s="799"/>
      <c r="N28" s="622"/>
      <c r="O28" s="968"/>
      <c r="P28" s="968"/>
      <c r="Q28" s="799"/>
      <c r="R28" s="622"/>
      <c r="S28" s="968"/>
      <c r="T28" s="799"/>
      <c r="U28" s="622"/>
      <c r="V28" s="968"/>
      <c r="W28" s="799"/>
      <c r="X28" s="622"/>
      <c r="Y28" s="968"/>
      <c r="Z28" s="799"/>
      <c r="AA28" s="622"/>
      <c r="AB28" s="968"/>
      <c r="AC28" s="799"/>
      <c r="AD28" s="622"/>
      <c r="AE28" s="968"/>
      <c r="AF28" s="968"/>
      <c r="AG28" s="736"/>
      <c r="AH28" s="736"/>
      <c r="AI28" s="464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</row>
    <row r="29" spans="1:49" ht="21.75" customHeight="1">
      <c r="A29" s="641" t="s">
        <v>841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</row>
    <row r="30" spans="1:49" ht="27" customHeight="1">
      <c r="A30" s="460" t="s">
        <v>540</v>
      </c>
      <c r="B30" s="453" t="s">
        <v>541</v>
      </c>
      <c r="C30" s="454"/>
      <c r="D30" s="453" t="s">
        <v>911</v>
      </c>
      <c r="E30" s="680"/>
      <c r="F30" s="680"/>
      <c r="G30" s="454"/>
      <c r="H30" s="457" t="s">
        <v>544</v>
      </c>
      <c r="I30" s="459"/>
      <c r="J30" s="459"/>
      <c r="K30" s="459"/>
      <c r="L30" s="459"/>
      <c r="M30" s="459"/>
      <c r="N30" s="459"/>
      <c r="O30" s="458"/>
      <c r="P30" s="457" t="s">
        <v>545</v>
      </c>
      <c r="Q30" s="459"/>
      <c r="R30" s="459"/>
      <c r="S30" s="459"/>
      <c r="T30" s="459"/>
      <c r="U30" s="459"/>
      <c r="V30" s="459"/>
      <c r="W30" s="458"/>
      <c r="X30" s="453" t="s">
        <v>546</v>
      </c>
      <c r="Y30" s="680"/>
      <c r="Z30" s="680"/>
      <c r="AA30" s="680"/>
      <c r="AB30" s="454"/>
      <c r="AC30" s="679" t="s">
        <v>912</v>
      </c>
      <c r="AD30" s="679"/>
      <c r="AE30" s="679"/>
      <c r="AF30" s="679"/>
      <c r="AG30" s="679"/>
      <c r="AH30" s="679"/>
      <c r="AI30" s="679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</row>
    <row r="31" spans="1:49" ht="30" customHeight="1">
      <c r="A31" s="461"/>
      <c r="B31" s="455"/>
      <c r="C31" s="456"/>
      <c r="D31" s="455"/>
      <c r="E31" s="681"/>
      <c r="F31" s="681"/>
      <c r="G31" s="456"/>
      <c r="H31" s="457" t="s">
        <v>548</v>
      </c>
      <c r="I31" s="459"/>
      <c r="J31" s="459"/>
      <c r="K31" s="458"/>
      <c r="L31" s="457" t="s">
        <v>549</v>
      </c>
      <c r="M31" s="459"/>
      <c r="N31" s="459"/>
      <c r="O31" s="458"/>
      <c r="P31" s="457" t="s">
        <v>550</v>
      </c>
      <c r="Q31" s="459"/>
      <c r="R31" s="459"/>
      <c r="S31" s="458"/>
      <c r="T31" s="457" t="s">
        <v>551</v>
      </c>
      <c r="U31" s="459"/>
      <c r="V31" s="459"/>
      <c r="W31" s="458"/>
      <c r="X31" s="455"/>
      <c r="Y31" s="681"/>
      <c r="Z31" s="681"/>
      <c r="AA31" s="681"/>
      <c r="AB31" s="456"/>
      <c r="AC31" s="679"/>
      <c r="AD31" s="679"/>
      <c r="AE31" s="679"/>
      <c r="AF31" s="679"/>
      <c r="AG31" s="679"/>
      <c r="AH31" s="679"/>
      <c r="AI31" s="679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</row>
    <row r="32" spans="1:49" ht="39.950000000000003" customHeight="1">
      <c r="A32" s="56">
        <v>1</v>
      </c>
      <c r="B32" s="457" t="str">
        <f ca="1">'Исходник '!B56</f>
        <v>MPI-520</v>
      </c>
      <c r="C32" s="458"/>
      <c r="D32" s="457">
        <f ca="1">'Исходник '!C56</f>
        <v>723895</v>
      </c>
      <c r="E32" s="459"/>
      <c r="F32" s="459"/>
      <c r="G32" s="458"/>
      <c r="H32" s="457" t="str">
        <f ca="1">'Исходник '!F57</f>
        <v>0…3 ГОм (1 кОм)</v>
      </c>
      <c r="I32" s="459"/>
      <c r="J32" s="459"/>
      <c r="K32" s="458"/>
      <c r="L32" s="457" t="str">
        <f ca="1">'Исходник '!H57</f>
        <v>± (3% Riso+8 е.м.р.)</v>
      </c>
      <c r="M32" s="459"/>
      <c r="N32" s="459"/>
      <c r="O32" s="458"/>
      <c r="P32" s="487">
        <f ca="1">'Исходник '!J56</f>
        <v>43530</v>
      </c>
      <c r="Q32" s="678"/>
      <c r="R32" s="678"/>
      <c r="S32" s="488"/>
      <c r="T32" s="487">
        <f ca="1">'Исходник '!L56</f>
        <v>43895</v>
      </c>
      <c r="U32" s="678"/>
      <c r="V32" s="678"/>
      <c r="W32" s="488"/>
      <c r="X32" s="457" t="str">
        <f ca="1">'Исходник '!N56</f>
        <v>№18182-А</v>
      </c>
      <c r="Y32" s="459"/>
      <c r="Z32" s="459"/>
      <c r="AA32" s="459"/>
      <c r="AB32" s="458"/>
      <c r="AC32" s="679" t="str">
        <f ca="1">'Исходник '!P56</f>
        <v>ООО "СОНЕЛ"</v>
      </c>
      <c r="AD32" s="679"/>
      <c r="AE32" s="679"/>
      <c r="AF32" s="679"/>
      <c r="AG32" s="679"/>
      <c r="AH32" s="679"/>
      <c r="AI32" s="679"/>
      <c r="AJ32" s="137"/>
      <c r="AL32"/>
    </row>
    <row r="33" spans="1:49" ht="39.950000000000003" customHeight="1">
      <c r="A33" s="56">
        <v>2</v>
      </c>
      <c r="B33" s="457" t="str">
        <f ca="1">'Исходник '!B61</f>
        <v>ИВТМ-7</v>
      </c>
      <c r="C33" s="458"/>
      <c r="D33" s="457">
        <f ca="1">'Исходник '!C61</f>
        <v>20084</v>
      </c>
      <c r="E33" s="459"/>
      <c r="F33" s="459"/>
      <c r="G33" s="458"/>
      <c r="H33" s="457" t="str">
        <f ca="1">'Исходник '!F61</f>
        <v>0-99 %
-20 +60 0С</v>
      </c>
      <c r="I33" s="459"/>
      <c r="J33" s="459"/>
      <c r="K33" s="458"/>
      <c r="L33" s="457" t="str">
        <f ca="1">'Исходник '!H61</f>
        <v>± 2%
± 0,2 0С</v>
      </c>
      <c r="M33" s="459"/>
      <c r="N33" s="459"/>
      <c r="O33" s="458"/>
      <c r="P33" s="487">
        <f ca="1">'Исходник '!J61</f>
        <v>43517</v>
      </c>
      <c r="Q33" s="678"/>
      <c r="R33" s="678"/>
      <c r="S33" s="488"/>
      <c r="T33" s="487" t="str">
        <f ca="1">'Исходник '!L61</f>
        <v>21.02.2020.</v>
      </c>
      <c r="U33" s="678"/>
      <c r="V33" s="678"/>
      <c r="W33" s="488"/>
      <c r="X33" s="457" t="str">
        <f ca="1">'Исходник '!N61</f>
        <v>№197</v>
      </c>
      <c r="Y33" s="459"/>
      <c r="Z33" s="459"/>
      <c r="AA33" s="459"/>
      <c r="AB33" s="458"/>
      <c r="AC33" s="679" t="str">
        <f ca="1">'Исходник '!P61</f>
        <v>ООО НПК "АВИАПРИБОР"</v>
      </c>
      <c r="AD33" s="679"/>
      <c r="AE33" s="679"/>
      <c r="AF33" s="679"/>
      <c r="AG33" s="679"/>
      <c r="AH33" s="679"/>
      <c r="AI33" s="679"/>
      <c r="AJ33" s="137"/>
      <c r="AL33"/>
    </row>
    <row r="34" spans="1:49" ht="39.950000000000003" customHeight="1">
      <c r="A34" s="56">
        <v>3</v>
      </c>
      <c r="B34" s="457" t="str">
        <f ca="1">'Исходник '!B62</f>
        <v>Барометр М 67</v>
      </c>
      <c r="C34" s="458"/>
      <c r="D34" s="457">
        <f ca="1">'Исходник '!C62</f>
        <v>74</v>
      </c>
      <c r="E34" s="459"/>
      <c r="F34" s="459"/>
      <c r="G34" s="458"/>
      <c r="H34" s="457" t="str">
        <f ca="1">'Исходник '!F62</f>
        <v>610-790
 мм.рт.ст</v>
      </c>
      <c r="I34" s="459"/>
      <c r="J34" s="459"/>
      <c r="K34" s="458"/>
      <c r="L34" s="741" t="str">
        <f ca="1">'Исходник '!H62</f>
        <v>± 0,8 мм.рт.ст.</v>
      </c>
      <c r="M34" s="459"/>
      <c r="N34" s="459"/>
      <c r="O34" s="458"/>
      <c r="P34" s="487">
        <f ca="1">'Исходник '!J62</f>
        <v>43517</v>
      </c>
      <c r="Q34" s="678"/>
      <c r="R34" s="678"/>
      <c r="S34" s="488"/>
      <c r="T34" s="487" t="str">
        <f ca="1">'Исходник '!L62</f>
        <v>21.02.2020.</v>
      </c>
      <c r="U34" s="678"/>
      <c r="V34" s="678"/>
      <c r="W34" s="488"/>
      <c r="X34" s="457" t="str">
        <f ca="1">'Исходник '!N62</f>
        <v>№200</v>
      </c>
      <c r="Y34" s="459"/>
      <c r="Z34" s="459"/>
      <c r="AA34" s="459"/>
      <c r="AB34" s="458"/>
      <c r="AC34" s="679" t="str">
        <f ca="1">'Исходник '!P62</f>
        <v>ООО НПК "АВИАПРИБОР"</v>
      </c>
      <c r="AD34" s="679"/>
      <c r="AE34" s="679"/>
      <c r="AF34" s="679"/>
      <c r="AG34" s="679"/>
      <c r="AH34" s="679"/>
      <c r="AI34" s="679"/>
      <c r="AJ34" s="137"/>
      <c r="AL34"/>
    </row>
    <row r="35" spans="1:49" ht="18.75" customHeight="1">
      <c r="A35" s="64" t="s">
        <v>913</v>
      </c>
      <c r="B35" s="137"/>
      <c r="C35" s="684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</row>
    <row r="36" spans="1:49" ht="18" customHeight="1">
      <c r="A36" s="79" t="s">
        <v>789</v>
      </c>
      <c r="B36" s="79"/>
      <c r="C36" s="975" t="s">
        <v>332</v>
      </c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975"/>
      <c r="AG36" s="975"/>
      <c r="AH36" s="975"/>
      <c r="AI36" s="975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</row>
    <row r="37" spans="1:49" ht="32.25" customHeight="1">
      <c r="A37" s="682" t="s">
        <v>333</v>
      </c>
      <c r="B37" s="682"/>
      <c r="C37" s="682"/>
      <c r="D37" s="632" t="s">
        <v>749</v>
      </c>
      <c r="E37" s="632"/>
      <c r="F37" s="632"/>
      <c r="G37" s="632"/>
      <c r="H37" s="632"/>
      <c r="I37" s="632"/>
      <c r="J37" s="632"/>
      <c r="N37" s="632"/>
      <c r="O37" s="632"/>
      <c r="P37" s="632"/>
      <c r="Q37" s="632"/>
      <c r="R37" s="632"/>
      <c r="S37" s="632"/>
      <c r="T37" s="632"/>
      <c r="X37" s="632" t="str">
        <f>'[1]Исходник '!B11</f>
        <v>Евдокимов А.О.</v>
      </c>
      <c r="Y37" s="632"/>
      <c r="Z37" s="632"/>
      <c r="AA37" s="632"/>
      <c r="AB37" s="632"/>
      <c r="AC37" s="632"/>
      <c r="AD37" s="632"/>
      <c r="AE37" s="632"/>
      <c r="AF37" s="632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</row>
    <row r="38" spans="1:49" ht="18" customHeight="1">
      <c r="A38" s="58"/>
      <c r="B38" s="58"/>
      <c r="C38" s="58"/>
      <c r="D38" s="607" t="s">
        <v>751</v>
      </c>
      <c r="E38" s="607"/>
      <c r="F38" s="607"/>
      <c r="G38" s="607"/>
      <c r="H38" s="607"/>
      <c r="I38" s="607"/>
      <c r="J38" s="607"/>
      <c r="K38" s="58"/>
      <c r="L38" s="58"/>
      <c r="M38" s="58"/>
      <c r="N38" s="607" t="s">
        <v>653</v>
      </c>
      <c r="O38" s="607"/>
      <c r="P38" s="607"/>
      <c r="Q38" s="607"/>
      <c r="R38" s="607"/>
      <c r="S38" s="607"/>
      <c r="T38" s="607"/>
      <c r="U38" s="58"/>
      <c r="V38" s="58"/>
      <c r="X38" s="607" t="s">
        <v>791</v>
      </c>
      <c r="Y38" s="607"/>
      <c r="Z38" s="607"/>
      <c r="AA38" s="607"/>
      <c r="AB38" s="607"/>
      <c r="AC38" s="607"/>
      <c r="AD38" s="607"/>
      <c r="AE38" s="607"/>
      <c r="AF38" s="607"/>
      <c r="AG38" s="58"/>
      <c r="AH38" s="58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</row>
    <row r="39" spans="1:49" ht="18" customHeight="1">
      <c r="A39" s="23"/>
      <c r="B39" s="23"/>
      <c r="C39" s="23"/>
      <c r="D39" s="632" t="s">
        <v>792</v>
      </c>
      <c r="E39" s="632"/>
      <c r="F39" s="632"/>
      <c r="G39" s="632"/>
      <c r="H39" s="632"/>
      <c r="I39" s="632"/>
      <c r="J39" s="632"/>
      <c r="K39" s="57"/>
      <c r="L39" s="57"/>
      <c r="M39" s="57"/>
      <c r="N39" s="632"/>
      <c r="O39" s="632"/>
      <c r="P39" s="632"/>
      <c r="Q39" s="632"/>
      <c r="R39" s="632"/>
      <c r="S39" s="632"/>
      <c r="T39" s="632"/>
      <c r="U39" s="57"/>
      <c r="V39" s="57"/>
      <c r="W39" s="88"/>
      <c r="X39" s="632" t="str">
        <f>'[1]Исходник '!B12</f>
        <v>Кокшаров С.В.</v>
      </c>
      <c r="Y39" s="632"/>
      <c r="Z39" s="632"/>
      <c r="AA39" s="632"/>
      <c r="AB39" s="632"/>
      <c r="AC39" s="632"/>
      <c r="AD39" s="632"/>
      <c r="AE39" s="632"/>
      <c r="AF39" s="632"/>
      <c r="AG39" s="57"/>
      <c r="AH39" s="5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</row>
    <row r="40" spans="1:49" ht="18" customHeight="1">
      <c r="A40" s="24"/>
      <c r="B40" s="24"/>
      <c r="C40" s="24"/>
      <c r="D40" s="607" t="s">
        <v>751</v>
      </c>
      <c r="E40" s="607"/>
      <c r="F40" s="607"/>
      <c r="G40" s="607"/>
      <c r="H40" s="607"/>
      <c r="I40" s="607"/>
      <c r="J40" s="607"/>
      <c r="K40" s="58"/>
      <c r="L40" s="58"/>
      <c r="M40" s="58"/>
      <c r="N40" s="607" t="s">
        <v>653</v>
      </c>
      <c r="O40" s="607"/>
      <c r="P40" s="607"/>
      <c r="Q40" s="607"/>
      <c r="R40" s="607"/>
      <c r="S40" s="607"/>
      <c r="T40" s="607"/>
      <c r="U40" s="58"/>
      <c r="V40" s="58"/>
      <c r="W40" s="88"/>
      <c r="X40" s="607" t="s">
        <v>791</v>
      </c>
      <c r="Y40" s="607"/>
      <c r="Z40" s="607"/>
      <c r="AA40" s="607"/>
      <c r="AB40" s="607"/>
      <c r="AC40" s="607"/>
      <c r="AD40" s="607"/>
      <c r="AE40" s="607"/>
      <c r="AF40" s="607"/>
      <c r="AG40" s="65"/>
      <c r="AH40" s="65"/>
      <c r="AL40"/>
      <c r="AQ40" s="385"/>
    </row>
    <row r="41" spans="1:49" ht="18" customHeight="1">
      <c r="A41" s="682" t="s">
        <v>793</v>
      </c>
      <c r="B41" s="682"/>
      <c r="C41" s="682"/>
      <c r="D41" s="632" t="s">
        <v>749</v>
      </c>
      <c r="E41" s="632"/>
      <c r="F41" s="632"/>
      <c r="G41" s="632"/>
      <c r="H41" s="632"/>
      <c r="I41" s="632"/>
      <c r="J41" s="632"/>
      <c r="K41" s="57"/>
      <c r="L41" s="57"/>
      <c r="M41" s="57"/>
      <c r="N41" s="632"/>
      <c r="O41" s="632"/>
      <c r="P41" s="632"/>
      <c r="Q41" s="632"/>
      <c r="R41" s="632"/>
      <c r="S41" s="632"/>
      <c r="T41" s="632"/>
      <c r="U41" s="57"/>
      <c r="V41" s="57"/>
      <c r="W41" s="88"/>
      <c r="X41" s="632" t="str">
        <f>'[1]Исходник '!B11</f>
        <v>Евдокимов А.О.</v>
      </c>
      <c r="Y41" s="632"/>
      <c r="Z41" s="632"/>
      <c r="AA41" s="632"/>
      <c r="AB41" s="632"/>
      <c r="AC41" s="632"/>
      <c r="AD41" s="632"/>
      <c r="AE41" s="632"/>
      <c r="AF41" s="632"/>
      <c r="AG41" s="57"/>
      <c r="AH41" s="57"/>
      <c r="AL41"/>
      <c r="AQ41" s="385"/>
    </row>
    <row r="42" spans="1:49" ht="18" customHeight="1">
      <c r="A42" s="58"/>
      <c r="B42" s="58"/>
      <c r="C42" s="58"/>
      <c r="D42" s="607" t="s">
        <v>751</v>
      </c>
      <c r="E42" s="607"/>
      <c r="F42" s="607"/>
      <c r="G42" s="607"/>
      <c r="H42" s="607"/>
      <c r="I42" s="607"/>
      <c r="J42" s="607"/>
      <c r="K42" s="58"/>
      <c r="L42" s="58"/>
      <c r="M42" s="58"/>
      <c r="N42" s="607" t="s">
        <v>653</v>
      </c>
      <c r="O42" s="607"/>
      <c r="P42" s="607"/>
      <c r="Q42" s="607"/>
      <c r="R42" s="607"/>
      <c r="S42" s="607"/>
      <c r="T42" s="607"/>
      <c r="U42" s="58"/>
      <c r="V42" s="58"/>
      <c r="X42" s="607" t="s">
        <v>791</v>
      </c>
      <c r="Y42" s="607"/>
      <c r="Z42" s="607"/>
      <c r="AA42" s="607"/>
      <c r="AB42" s="607"/>
      <c r="AC42" s="607"/>
      <c r="AD42" s="607"/>
      <c r="AE42" s="607"/>
      <c r="AF42" s="607"/>
      <c r="AG42" s="58"/>
      <c r="AH42" s="58"/>
      <c r="AL42"/>
      <c r="AQ42" s="385"/>
    </row>
    <row r="43" spans="1:49" s="89" customFormat="1" ht="12.95" customHeight="1">
      <c r="A43" s="683" t="s">
        <v>794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3"/>
      <c r="AI43" s="683"/>
      <c r="AL43" s="90"/>
      <c r="AQ43" s="386"/>
    </row>
    <row r="44" spans="1:49" s="27" customFormat="1" ht="12.95" customHeight="1">
      <c r="A44" s="683" t="s">
        <v>795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683"/>
      <c r="Z44" s="683"/>
      <c r="AA44" s="683"/>
      <c r="AB44" s="683"/>
      <c r="AC44" s="683"/>
      <c r="AD44" s="683"/>
      <c r="AE44" s="683"/>
      <c r="AF44" s="683"/>
      <c r="AG44" s="683"/>
      <c r="AH44" s="683"/>
      <c r="AI44" s="683"/>
      <c r="AL44" s="37"/>
      <c r="AQ44" s="384"/>
    </row>
    <row r="45" spans="1:49" ht="15" customHeight="1">
      <c r="A45" s="57"/>
      <c r="B45" s="57"/>
      <c r="C45" s="57"/>
      <c r="D45" s="57"/>
      <c r="AQ45" s="384"/>
    </row>
    <row r="46" spans="1:49" ht="12.75" customHeight="1">
      <c r="A46" s="65"/>
      <c r="B46" s="65"/>
      <c r="C46" s="65"/>
      <c r="D46" s="65"/>
      <c r="AQ46" s="384"/>
    </row>
    <row r="47" spans="1:49" ht="15" customHeight="1">
      <c r="P47" s="57"/>
      <c r="Q47" s="57"/>
      <c r="R47" s="57"/>
      <c r="S47" s="57"/>
      <c r="T47" s="57"/>
      <c r="U47" s="57"/>
      <c r="V47" s="57"/>
      <c r="W47" s="88"/>
      <c r="Z47" s="57"/>
      <c r="AA47" s="57"/>
      <c r="AB47" s="57"/>
      <c r="AC47" s="57"/>
      <c r="AD47" s="57"/>
      <c r="AE47" s="57"/>
      <c r="AF47" s="57"/>
      <c r="AG47" s="57"/>
      <c r="AH47" s="57"/>
      <c r="AQ47" s="384"/>
    </row>
    <row r="48" spans="1:49" ht="12.75" customHeight="1">
      <c r="P48" s="58"/>
      <c r="Q48" s="58"/>
      <c r="R48" s="58"/>
      <c r="S48" s="58"/>
      <c r="T48" s="58"/>
      <c r="U48" s="58"/>
      <c r="V48" s="58"/>
      <c r="Z48" s="58"/>
      <c r="AA48" s="58"/>
      <c r="AB48" s="58"/>
      <c r="AC48" s="58"/>
      <c r="AD48" s="58"/>
      <c r="AE48" s="58"/>
      <c r="AF48" s="58"/>
      <c r="AG48" s="58"/>
      <c r="AH48" s="58"/>
      <c r="AQ48" s="384"/>
    </row>
    <row r="49" spans="16:43">
      <c r="P49" s="57"/>
      <c r="Q49" s="57"/>
      <c r="R49" s="57"/>
      <c r="S49" s="57"/>
      <c r="T49" s="57"/>
      <c r="U49" s="57"/>
      <c r="V49" s="57"/>
      <c r="Z49" s="57"/>
      <c r="AA49" s="57"/>
      <c r="AB49" s="57"/>
      <c r="AC49" s="57"/>
      <c r="AD49" s="57"/>
      <c r="AE49" s="57"/>
      <c r="AF49" s="57"/>
      <c r="AG49" s="57"/>
      <c r="AH49" s="57"/>
      <c r="AQ49" s="385"/>
    </row>
    <row r="50" spans="16:43">
      <c r="AQ50" s="385"/>
    </row>
    <row r="51" spans="16:43">
      <c r="AQ51" s="384"/>
    </row>
  </sheetData>
  <mergeCells count="163">
    <mergeCell ref="A43:AI43"/>
    <mergeCell ref="A44:AI44"/>
    <mergeCell ref="D40:J40"/>
    <mergeCell ref="N40:T40"/>
    <mergeCell ref="X40:AF40"/>
    <mergeCell ref="A41:C41"/>
    <mergeCell ref="D41:J41"/>
    <mergeCell ref="N41:T41"/>
    <mergeCell ref="X41:AF41"/>
    <mergeCell ref="D42:J42"/>
    <mergeCell ref="N42:T42"/>
    <mergeCell ref="X42:AF42"/>
    <mergeCell ref="C36:AI36"/>
    <mergeCell ref="A37:C37"/>
    <mergeCell ref="D37:J37"/>
    <mergeCell ref="N37:T37"/>
    <mergeCell ref="X37:AF37"/>
    <mergeCell ref="D38:J38"/>
    <mergeCell ref="N38:T38"/>
    <mergeCell ref="X38:AF38"/>
    <mergeCell ref="D39:J39"/>
    <mergeCell ref="N39:T39"/>
    <mergeCell ref="X39:AF39"/>
    <mergeCell ref="B34:C34"/>
    <mergeCell ref="D34:G34"/>
    <mergeCell ref="H34:K34"/>
    <mergeCell ref="L34:O34"/>
    <mergeCell ref="P34:S34"/>
    <mergeCell ref="T34:W34"/>
    <mergeCell ref="X34:AB34"/>
    <mergeCell ref="AC34:AI34"/>
    <mergeCell ref="C35:AI35"/>
    <mergeCell ref="B32:C32"/>
    <mergeCell ref="D32:G32"/>
    <mergeCell ref="H32:K32"/>
    <mergeCell ref="L32:O32"/>
    <mergeCell ref="P32:S32"/>
    <mergeCell ref="T32:W32"/>
    <mergeCell ref="X32:AB32"/>
    <mergeCell ref="AC32:AI32"/>
    <mergeCell ref="P33:S33"/>
    <mergeCell ref="T33:W33"/>
    <mergeCell ref="X33:AB33"/>
    <mergeCell ref="AC33:AI33"/>
    <mergeCell ref="B33:C33"/>
    <mergeCell ref="D33:G33"/>
    <mergeCell ref="H33:K33"/>
    <mergeCell ref="L33:O33"/>
    <mergeCell ref="A29:V29"/>
    <mergeCell ref="H30:O30"/>
    <mergeCell ref="P30:W30"/>
    <mergeCell ref="A30:A31"/>
    <mergeCell ref="B30:C31"/>
    <mergeCell ref="D30:G31"/>
    <mergeCell ref="X30:AB31"/>
    <mergeCell ref="AC30:AI31"/>
    <mergeCell ref="H31:K31"/>
    <mergeCell ref="L31:O31"/>
    <mergeCell ref="P31:S31"/>
    <mergeCell ref="T31:W31"/>
    <mergeCell ref="X27:Z27"/>
    <mergeCell ref="AA27:AC27"/>
    <mergeCell ref="AD27:AI27"/>
    <mergeCell ref="D28:E28"/>
    <mergeCell ref="F28:H28"/>
    <mergeCell ref="I28:M28"/>
    <mergeCell ref="N28:Q28"/>
    <mergeCell ref="R28:T28"/>
    <mergeCell ref="U28:W28"/>
    <mergeCell ref="X28:Z28"/>
    <mergeCell ref="AA28:AC28"/>
    <mergeCell ref="AD28:AI28"/>
    <mergeCell ref="A26:A27"/>
    <mergeCell ref="B26:B27"/>
    <mergeCell ref="C26:C27"/>
    <mergeCell ref="D27:E27"/>
    <mergeCell ref="F27:H27"/>
    <mergeCell ref="I27:M27"/>
    <mergeCell ref="N27:Q27"/>
    <mergeCell ref="R27:T27"/>
    <mergeCell ref="U27:W27"/>
    <mergeCell ref="D26:E26"/>
    <mergeCell ref="F26:H26"/>
    <mergeCell ref="I26:M26"/>
    <mergeCell ref="N26:Q26"/>
    <mergeCell ref="R26:T26"/>
    <mergeCell ref="U26:W26"/>
    <mergeCell ref="X26:Z26"/>
    <mergeCell ref="AA26:AC26"/>
    <mergeCell ref="AD26:AI26"/>
    <mergeCell ref="D25:E25"/>
    <mergeCell ref="F25:H25"/>
    <mergeCell ref="I25:M25"/>
    <mergeCell ref="N25:Q25"/>
    <mergeCell ref="R25:T25"/>
    <mergeCell ref="U25:W25"/>
    <mergeCell ref="X25:Z25"/>
    <mergeCell ref="AA25:AC25"/>
    <mergeCell ref="AD25:AI25"/>
    <mergeCell ref="D24:E24"/>
    <mergeCell ref="F24:H24"/>
    <mergeCell ref="I24:M24"/>
    <mergeCell ref="N24:Q24"/>
    <mergeCell ref="R24:T24"/>
    <mergeCell ref="U24:W24"/>
    <mergeCell ref="X24:Z24"/>
    <mergeCell ref="AA24:AC24"/>
    <mergeCell ref="AD24:AI24"/>
    <mergeCell ref="D23:E23"/>
    <mergeCell ref="F23:H23"/>
    <mergeCell ref="I23:M23"/>
    <mergeCell ref="N23:Q23"/>
    <mergeCell ref="R23:T23"/>
    <mergeCell ref="U23:W23"/>
    <mergeCell ref="X23:Z23"/>
    <mergeCell ref="AA23:AC23"/>
    <mergeCell ref="AD23:AI23"/>
    <mergeCell ref="AP20:AQ20"/>
    <mergeCell ref="AP21:AQ21"/>
    <mergeCell ref="D22:E22"/>
    <mergeCell ref="F22:H22"/>
    <mergeCell ref="I22:M22"/>
    <mergeCell ref="N22:Q22"/>
    <mergeCell ref="R22:T22"/>
    <mergeCell ref="U22:W22"/>
    <mergeCell ref="X22:Z22"/>
    <mergeCell ref="AA22:AC22"/>
    <mergeCell ref="AD22:AI22"/>
    <mergeCell ref="AP22:AQ22"/>
    <mergeCell ref="A10:AI10"/>
    <mergeCell ref="A11:AI11"/>
    <mergeCell ref="A12:AI12"/>
    <mergeCell ref="A13:AI13"/>
    <mergeCell ref="A14:AI14"/>
    <mergeCell ref="A15:AI15"/>
    <mergeCell ref="AP16:AQ16"/>
    <mergeCell ref="I16:Q18"/>
    <mergeCell ref="A16:A21"/>
    <mergeCell ref="B16:B21"/>
    <mergeCell ref="C16:C21"/>
    <mergeCell ref="D16:E21"/>
    <mergeCell ref="F16:H21"/>
    <mergeCell ref="I19:M21"/>
    <mergeCell ref="F9:M9"/>
    <mergeCell ref="AA16:AC21"/>
    <mergeCell ref="AD16:AI21"/>
    <mergeCell ref="AP17:AQ17"/>
    <mergeCell ref="AP18:AQ18"/>
    <mergeCell ref="AP19:AQ19"/>
    <mergeCell ref="R16:Z18"/>
    <mergeCell ref="N19:Q21"/>
    <mergeCell ref="R19:T21"/>
    <mergeCell ref="U19:W21"/>
    <mergeCell ref="P9:X9"/>
    <mergeCell ref="X19:Z21"/>
    <mergeCell ref="U2:AI2"/>
    <mergeCell ref="B3:D3"/>
    <mergeCell ref="U3:AI3"/>
    <mergeCell ref="U4:AI4"/>
    <mergeCell ref="Z5:AI5"/>
    <mergeCell ref="A6:AI6"/>
    <mergeCell ref="A7:AI7"/>
    <mergeCell ref="A8:AI8"/>
  </mergeCells>
  <phoneticPr fontId="0" type="noConversion"/>
  <dataValidations count="1">
    <dataValidation type="list" allowBlank="1" showInputMessage="1" showErrorMessage="1" sqref="AJ32:AJ34">
      <formula1>'Исходник '!$G$1:$G$5</formula1>
    </dataValidation>
  </dataValidations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L31"/>
  <sheetViews>
    <sheetView workbookViewId="0">
      <selection activeCell="F8" sqref="F8:J8"/>
    </sheetView>
  </sheetViews>
  <sheetFormatPr defaultRowHeight="15.75"/>
  <cols>
    <col min="1" max="1" width="6" customWidth="1"/>
    <col min="2" max="2" width="12.5703125" customWidth="1"/>
    <col min="3" max="3" width="7.5703125" customWidth="1"/>
    <col min="4" max="4" width="7.42578125" customWidth="1"/>
    <col min="5" max="5" width="5.42578125" customWidth="1"/>
    <col min="6" max="6" width="5.28515625" customWidth="1"/>
    <col min="7" max="7" width="2" customWidth="1"/>
    <col min="8" max="8" width="3.85546875" customWidth="1"/>
    <col min="9" max="9" width="4.85546875" customWidth="1"/>
    <col min="10" max="10" width="2.85546875" customWidth="1"/>
    <col min="11" max="11" width="2" customWidth="1"/>
    <col min="12" max="12" width="2.7109375" customWidth="1"/>
    <col min="13" max="13" width="2.42578125" customWidth="1"/>
    <col min="14" max="14" width="2.85546875" customWidth="1"/>
    <col min="15" max="15" width="2.28515625" customWidth="1"/>
    <col min="16" max="16" width="3.28515625" customWidth="1"/>
    <col min="17" max="17" width="5.7109375" customWidth="1"/>
    <col min="18" max="18" width="3.28515625" customWidth="1"/>
    <col min="19" max="19" width="3.7109375" customWidth="1"/>
    <col min="20" max="20" width="4.7109375" customWidth="1"/>
    <col min="21" max="21" width="4.42578125" customWidth="1"/>
    <col min="22" max="22" width="3.28515625" customWidth="1"/>
    <col min="23" max="23" width="4.140625" customWidth="1"/>
    <col min="24" max="24" width="3.28515625" customWidth="1"/>
    <col min="25" max="25" width="4.7109375" customWidth="1"/>
    <col min="26" max="26" width="1.28515625" customWidth="1"/>
    <col min="27" max="27" width="4" customWidth="1"/>
    <col min="28" max="30" width="3.2851562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5" width="3.42578125" customWidth="1"/>
    <col min="36" max="37" width="3.28515625" customWidth="1"/>
    <col min="38" max="38" width="9.140625" style="6"/>
  </cols>
  <sheetData>
    <row r="1" spans="1:37" ht="21" customHeight="1">
      <c r="A1" s="70"/>
      <c r="B1" s="9" t="str">
        <f ca="1">'Исходник '!B3</f>
        <v>ООО «ТМ-Электро»</v>
      </c>
      <c r="C1" s="9"/>
      <c r="D1" s="9"/>
      <c r="Q1" s="9" t="s">
        <v>489</v>
      </c>
      <c r="R1" s="9"/>
      <c r="S1" s="9"/>
      <c r="U1" s="656">
        <f ca="1">'Исходник '!B19</f>
        <v>0</v>
      </c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</row>
    <row r="2" spans="1:37" s="59" customFormat="1" ht="17.25" customHeight="1">
      <c r="A2" s="66"/>
      <c r="B2" s="658" t="s">
        <v>853</v>
      </c>
      <c r="C2" s="602"/>
      <c r="D2" s="602"/>
      <c r="E2" s="36"/>
      <c r="F2" s="36"/>
      <c r="G2" s="55"/>
      <c r="H2" s="55"/>
      <c r="I2" s="55"/>
      <c r="J2" s="55"/>
      <c r="K2" s="55"/>
      <c r="L2" s="55"/>
      <c r="M2" s="55"/>
      <c r="N2" s="55"/>
      <c r="O2" s="55"/>
      <c r="P2" s="55"/>
      <c r="Q2" s="64" t="s">
        <v>491</v>
      </c>
      <c r="R2" s="10"/>
      <c r="S2" s="10"/>
      <c r="T2"/>
      <c r="U2" s="603" t="str">
        <f ca="1">'Исходник '!B20</f>
        <v>Фитнес-клуб</v>
      </c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"/>
      <c r="AK2" s="55"/>
    </row>
    <row r="3" spans="1:37" ht="19.5" customHeight="1">
      <c r="A3" s="70"/>
      <c r="B3" s="59" t="str">
        <f ca="1">CONCATENATE('Исходник '!A5," ",'Исходник '!B5)</f>
        <v>Свидетельство о регистрации № 6231-2</v>
      </c>
      <c r="C3" s="6"/>
      <c r="D3" s="6"/>
      <c r="E3" s="70"/>
      <c r="F3" s="3"/>
      <c r="Q3" s="64" t="s">
        <v>494</v>
      </c>
      <c r="R3" s="10"/>
      <c r="T3" s="196"/>
      <c r="U3" s="553">
        <f ca="1">'Исходник '!B21</f>
        <v>0</v>
      </c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</row>
    <row r="4" spans="1:37" ht="18" customHeight="1">
      <c r="A4" s="70"/>
      <c r="B4" s="6" t="str">
        <f ca="1">CONCATENATE('Исходник '!A7," ",'Исходник '!B7)</f>
        <v xml:space="preserve">Действительно до «11» января 2022 г. </v>
      </c>
      <c r="C4" s="6"/>
      <c r="D4" s="6"/>
      <c r="E4" s="5"/>
      <c r="F4" s="5"/>
      <c r="Q4" s="9" t="s">
        <v>633</v>
      </c>
      <c r="S4" s="10"/>
      <c r="U4" s="5"/>
      <c r="V4" s="5"/>
      <c r="W4" s="5"/>
      <c r="X4" s="5"/>
      <c r="Z4" s="659" t="str">
        <f ca="1">'Исходник '!B34</f>
        <v>29 января 2020г.</v>
      </c>
      <c r="AA4" s="444"/>
      <c r="AB4" s="444"/>
      <c r="AC4" s="444"/>
      <c r="AD4" s="444"/>
      <c r="AE4" s="444"/>
      <c r="AF4" s="444"/>
      <c r="AG4" s="444"/>
      <c r="AH4" s="444"/>
      <c r="AI4" s="444"/>
    </row>
    <row r="5" spans="1:37" ht="18" customHeight="1">
      <c r="A5" s="651" t="str">
        <f ca="1">CONCATENATE('Исходник '!A16," ",'Исходник '!F18)</f>
        <v>Протокол  №505-14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</row>
    <row r="6" spans="1:37" ht="18" customHeight="1">
      <c r="A6" s="660" t="s">
        <v>334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</row>
    <row r="7" spans="1:37" ht="18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</row>
    <row r="8" spans="1:37" customFormat="1" ht="18" customHeight="1">
      <c r="A8" s="7"/>
      <c r="B8" s="653" t="str">
        <f ca="1">'Исходник '!A36</f>
        <v>Температура воздуха:</v>
      </c>
      <c r="C8" s="653"/>
      <c r="D8" s="72">
        <f ca="1">'Исходник '!B36</f>
        <v>21</v>
      </c>
      <c r="E8" s="7" t="s">
        <v>855</v>
      </c>
      <c r="F8" s="653" t="str">
        <f ca="1">'Исходник '!A37</f>
        <v>Влажность воздуха:</v>
      </c>
      <c r="G8" s="444"/>
      <c r="H8" s="444"/>
      <c r="I8" s="444"/>
      <c r="J8" s="444"/>
      <c r="K8" s="652">
        <f ca="1">'Исходник '!B37</f>
        <v>58</v>
      </c>
      <c r="L8" s="654"/>
      <c r="M8" s="654"/>
      <c r="N8" s="12" t="s">
        <v>856</v>
      </c>
      <c r="O8" s="12"/>
      <c r="P8" s="653" t="str">
        <f ca="1">'Исходник '!A38</f>
        <v>Атмосферное давление:</v>
      </c>
      <c r="Q8" s="655"/>
      <c r="R8" s="655"/>
      <c r="S8" s="655"/>
      <c r="T8" s="655"/>
      <c r="U8" s="655"/>
      <c r="V8" s="652">
        <f ca="1">'Исходник '!B38</f>
        <v>741</v>
      </c>
      <c r="W8" s="652"/>
      <c r="X8" s="7" t="s">
        <v>525</v>
      </c>
      <c r="Y8" s="7"/>
      <c r="Z8" s="7"/>
      <c r="AK8" s="6"/>
    </row>
    <row r="9" spans="1:37" ht="18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</row>
    <row r="10" spans="1:37" ht="18" customHeight="1">
      <c r="A10" s="508" t="str">
        <f ca="1">'Исходник '!B23</f>
        <v>эксплуатационные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</row>
    <row r="11" spans="1:37" s="242" customFormat="1" ht="18" customHeight="1">
      <c r="A11" s="606" t="s">
        <v>802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282"/>
      <c r="AK11" s="282"/>
    </row>
    <row r="12" spans="1:37" customFormat="1" ht="15" customHeight="1">
      <c r="A12" s="596" t="s">
        <v>335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K12" s="350"/>
    </row>
    <row r="13" spans="1:37" customFormat="1" ht="15" customHeight="1">
      <c r="A13" s="596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K13" s="350"/>
    </row>
    <row r="14" spans="1:37" s="242" customFormat="1" ht="18" customHeight="1">
      <c r="A14" s="715" t="s">
        <v>802</v>
      </c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5"/>
      <c r="Z14" s="715"/>
      <c r="AA14" s="715"/>
      <c r="AB14" s="715"/>
      <c r="AC14" s="715"/>
      <c r="AD14" s="715"/>
      <c r="AE14" s="715"/>
      <c r="AF14" s="715"/>
      <c r="AG14" s="715"/>
      <c r="AH14" s="715"/>
      <c r="AI14" s="715"/>
      <c r="AJ14" s="282"/>
      <c r="AK14" s="282"/>
    </row>
    <row r="15" spans="1:37" ht="27.95" customHeight="1">
      <c r="A15" s="528" t="s">
        <v>336</v>
      </c>
      <c r="B15" s="528" t="s">
        <v>337</v>
      </c>
      <c r="C15" s="520"/>
      <c r="D15" s="665" t="s">
        <v>338</v>
      </c>
      <c r="E15" s="625"/>
      <c r="F15" s="486"/>
      <c r="G15" s="665" t="s">
        <v>339</v>
      </c>
      <c r="H15" s="890"/>
      <c r="I15" s="890"/>
      <c r="J15" s="890"/>
      <c r="K15" s="890"/>
      <c r="L15" s="982"/>
      <c r="M15" s="976" t="s">
        <v>340</v>
      </c>
      <c r="N15" s="977"/>
      <c r="O15" s="977"/>
      <c r="P15" s="977"/>
      <c r="Q15" s="978"/>
      <c r="R15" s="528" t="s">
        <v>341</v>
      </c>
      <c r="S15" s="528"/>
      <c r="T15" s="528"/>
      <c r="U15" s="528"/>
      <c r="V15" s="528"/>
      <c r="W15" s="665" t="s">
        <v>342</v>
      </c>
      <c r="X15" s="666"/>
      <c r="Y15" s="666"/>
      <c r="Z15" s="667"/>
      <c r="AA15" s="665" t="s">
        <v>343</v>
      </c>
      <c r="AB15" s="666"/>
      <c r="AC15" s="666"/>
      <c r="AD15" s="667"/>
      <c r="AE15" s="528" t="s">
        <v>114</v>
      </c>
      <c r="AF15" s="528"/>
      <c r="AG15" s="528"/>
      <c r="AH15" s="528"/>
      <c r="AI15" s="528"/>
    </row>
    <row r="16" spans="1:37" ht="96.75" customHeight="1">
      <c r="A16" s="520"/>
      <c r="B16" s="520"/>
      <c r="C16" s="520"/>
      <c r="D16" s="481"/>
      <c r="E16" s="628"/>
      <c r="F16" s="482"/>
      <c r="G16" s="883"/>
      <c r="H16" s="654"/>
      <c r="I16" s="654"/>
      <c r="J16" s="654"/>
      <c r="K16" s="654"/>
      <c r="L16" s="884"/>
      <c r="M16" s="979"/>
      <c r="N16" s="980"/>
      <c r="O16" s="980"/>
      <c r="P16" s="980"/>
      <c r="Q16" s="981"/>
      <c r="R16" s="983" t="s">
        <v>344</v>
      </c>
      <c r="S16" s="984"/>
      <c r="T16" s="985"/>
      <c r="U16" s="986" t="s">
        <v>345</v>
      </c>
      <c r="V16" s="987"/>
      <c r="W16" s="562"/>
      <c r="X16" s="563"/>
      <c r="Y16" s="563"/>
      <c r="Z16" s="564"/>
      <c r="AA16" s="562"/>
      <c r="AB16" s="563"/>
      <c r="AC16" s="563"/>
      <c r="AD16" s="564"/>
      <c r="AE16" s="528"/>
      <c r="AF16" s="528"/>
      <c r="AG16" s="528"/>
      <c r="AH16" s="528"/>
      <c r="AI16" s="528"/>
    </row>
    <row r="17" spans="1:38" ht="15.75" customHeight="1">
      <c r="A17" s="401">
        <v>1</v>
      </c>
      <c r="B17" s="992">
        <v>2</v>
      </c>
      <c r="C17" s="993"/>
      <c r="D17" s="994">
        <v>3</v>
      </c>
      <c r="E17" s="995"/>
      <c r="F17" s="995"/>
      <c r="G17" s="992">
        <v>4</v>
      </c>
      <c r="H17" s="996"/>
      <c r="I17" s="996"/>
      <c r="J17" s="993"/>
      <c r="K17" s="993"/>
      <c r="L17" s="997"/>
      <c r="M17" s="994">
        <v>5</v>
      </c>
      <c r="N17" s="994"/>
      <c r="O17" s="994"/>
      <c r="P17" s="994"/>
      <c r="Q17" s="994"/>
      <c r="R17" s="994">
        <v>6</v>
      </c>
      <c r="S17" s="994"/>
      <c r="T17" s="994"/>
      <c r="U17" s="994">
        <v>7</v>
      </c>
      <c r="V17" s="994"/>
      <c r="W17" s="994">
        <v>8</v>
      </c>
      <c r="X17" s="994"/>
      <c r="Y17" s="994"/>
      <c r="Z17" s="994"/>
      <c r="AA17" s="994">
        <v>9</v>
      </c>
      <c r="AB17" s="994"/>
      <c r="AC17" s="994"/>
      <c r="AD17" s="994"/>
      <c r="AE17" s="994">
        <v>10</v>
      </c>
      <c r="AF17" s="994"/>
      <c r="AG17" s="994"/>
      <c r="AH17" s="994"/>
      <c r="AI17" s="994"/>
    </row>
    <row r="18" spans="1:38" ht="65.099999999999994" customHeight="1">
      <c r="A18" s="400">
        <v>1</v>
      </c>
      <c r="B18" s="528" t="s">
        <v>346</v>
      </c>
      <c r="C18" s="528"/>
      <c r="D18" s="528" t="s">
        <v>121</v>
      </c>
      <c r="E18" s="520"/>
      <c r="F18" s="520"/>
      <c r="G18" s="528">
        <v>90</v>
      </c>
      <c r="H18" s="520"/>
      <c r="I18" s="520"/>
      <c r="J18" s="520"/>
      <c r="K18" s="520"/>
      <c r="L18" s="520"/>
      <c r="M18" s="528" t="s">
        <v>589</v>
      </c>
      <c r="N18" s="528"/>
      <c r="O18" s="528"/>
      <c r="P18" s="528"/>
      <c r="Q18" s="528"/>
      <c r="R18" s="528" t="s">
        <v>121</v>
      </c>
      <c r="S18" s="528"/>
      <c r="T18" s="528"/>
      <c r="U18" s="528" t="s">
        <v>121</v>
      </c>
      <c r="V18" s="528"/>
      <c r="W18" s="528" t="s">
        <v>121</v>
      </c>
      <c r="X18" s="528"/>
      <c r="Y18" s="528"/>
      <c r="Z18" s="528"/>
      <c r="AA18" s="988" t="s">
        <v>347</v>
      </c>
      <c r="AB18" s="988"/>
      <c r="AC18" s="988"/>
      <c r="AD18" s="988"/>
      <c r="AE18" s="989" t="s">
        <v>348</v>
      </c>
      <c r="AF18" s="990"/>
      <c r="AG18" s="990"/>
      <c r="AH18" s="990"/>
      <c r="AI18" s="991"/>
    </row>
    <row r="19" spans="1:38" ht="23.25" customHeight="1">
      <c r="A19" s="682" t="s">
        <v>790</v>
      </c>
      <c r="B19" s="682"/>
      <c r="C19" s="682"/>
      <c r="D19" s="632" t="s">
        <v>749</v>
      </c>
      <c r="E19" s="632"/>
      <c r="F19" s="632"/>
      <c r="G19" s="632"/>
      <c r="H19" s="632"/>
      <c r="I19" s="632"/>
      <c r="J19" s="632"/>
      <c r="N19" s="632"/>
      <c r="O19" s="632"/>
      <c r="P19" s="632"/>
      <c r="Q19" s="632"/>
      <c r="R19" s="632"/>
      <c r="S19" s="632"/>
      <c r="T19" s="632"/>
      <c r="X19" s="632" t="str">
        <f ca="1">'Исходник '!B12</f>
        <v>Евдокимов А.О.</v>
      </c>
      <c r="Y19" s="632"/>
      <c r="Z19" s="632"/>
      <c r="AA19" s="632"/>
      <c r="AB19" s="632"/>
      <c r="AC19" s="632"/>
      <c r="AD19" s="632"/>
      <c r="AE19" s="632"/>
      <c r="AF19" s="632"/>
      <c r="AL19"/>
    </row>
    <row r="20" spans="1:38" ht="18" customHeight="1">
      <c r="A20" s="58"/>
      <c r="B20" s="58"/>
      <c r="C20" s="58"/>
      <c r="D20" s="607" t="s">
        <v>751</v>
      </c>
      <c r="E20" s="607"/>
      <c r="F20" s="607"/>
      <c r="G20" s="607"/>
      <c r="H20" s="607"/>
      <c r="I20" s="607"/>
      <c r="J20" s="607"/>
      <c r="K20" s="58"/>
      <c r="L20" s="58"/>
      <c r="M20" s="58"/>
      <c r="N20" s="607" t="s">
        <v>653</v>
      </c>
      <c r="O20" s="607"/>
      <c r="P20" s="607"/>
      <c r="Q20" s="607"/>
      <c r="R20" s="607"/>
      <c r="S20" s="607"/>
      <c r="T20" s="607"/>
      <c r="U20" s="58"/>
      <c r="V20" s="58"/>
      <c r="X20" s="607" t="s">
        <v>791</v>
      </c>
      <c r="Y20" s="607"/>
      <c r="Z20" s="607"/>
      <c r="AA20" s="607"/>
      <c r="AB20" s="607"/>
      <c r="AC20" s="607"/>
      <c r="AD20" s="607"/>
      <c r="AE20" s="607"/>
      <c r="AF20" s="607"/>
      <c r="AG20" s="58"/>
      <c r="AH20" s="58"/>
      <c r="AL20"/>
    </row>
    <row r="21" spans="1:38" ht="18" customHeight="1">
      <c r="A21" s="23"/>
      <c r="B21" s="23"/>
      <c r="C21" s="23"/>
      <c r="D21" s="632" t="s">
        <v>792</v>
      </c>
      <c r="E21" s="632"/>
      <c r="F21" s="632"/>
      <c r="G21" s="632"/>
      <c r="H21" s="632"/>
      <c r="I21" s="632"/>
      <c r="J21" s="632"/>
      <c r="K21" s="57"/>
      <c r="L21" s="57"/>
      <c r="M21" s="57"/>
      <c r="N21" s="632"/>
      <c r="O21" s="632"/>
      <c r="P21" s="632"/>
      <c r="Q21" s="632"/>
      <c r="R21" s="632"/>
      <c r="S21" s="632"/>
      <c r="T21" s="632"/>
      <c r="U21" s="57"/>
      <c r="V21" s="57"/>
      <c r="W21" s="88"/>
      <c r="X21" s="632" t="str">
        <f ca="1">'Исходник '!B13</f>
        <v>Кокшаров С.В.</v>
      </c>
      <c r="Y21" s="632"/>
      <c r="Z21" s="632"/>
      <c r="AA21" s="632"/>
      <c r="AB21" s="632"/>
      <c r="AC21" s="632"/>
      <c r="AD21" s="632"/>
      <c r="AE21" s="632"/>
      <c r="AF21" s="632"/>
      <c r="AG21" s="57"/>
      <c r="AH21" s="57"/>
      <c r="AL21"/>
    </row>
    <row r="22" spans="1:38" ht="18" customHeight="1">
      <c r="A22" s="24"/>
      <c r="B22" s="24"/>
      <c r="C22" s="24"/>
      <c r="D22" s="607" t="s">
        <v>751</v>
      </c>
      <c r="E22" s="607"/>
      <c r="F22" s="607"/>
      <c r="G22" s="607"/>
      <c r="H22" s="607"/>
      <c r="I22" s="607"/>
      <c r="J22" s="607"/>
      <c r="K22" s="58"/>
      <c r="L22" s="58"/>
      <c r="M22" s="58"/>
      <c r="N22" s="607" t="s">
        <v>653</v>
      </c>
      <c r="O22" s="607"/>
      <c r="P22" s="607"/>
      <c r="Q22" s="607"/>
      <c r="R22" s="607"/>
      <c r="S22" s="607"/>
      <c r="T22" s="607"/>
      <c r="U22" s="58"/>
      <c r="V22" s="58"/>
      <c r="W22" s="88"/>
      <c r="X22" s="607" t="s">
        <v>791</v>
      </c>
      <c r="Y22" s="607"/>
      <c r="Z22" s="607"/>
      <c r="AA22" s="607"/>
      <c r="AB22" s="607"/>
      <c r="AC22" s="607"/>
      <c r="AD22" s="607"/>
      <c r="AE22" s="607"/>
      <c r="AF22" s="607"/>
      <c r="AG22" s="65"/>
      <c r="AH22" s="65"/>
      <c r="AL22"/>
    </row>
    <row r="23" spans="1:38" ht="18" customHeight="1">
      <c r="A23" s="682" t="s">
        <v>793</v>
      </c>
      <c r="B23" s="682"/>
      <c r="C23" s="682"/>
      <c r="D23" s="632" t="s">
        <v>749</v>
      </c>
      <c r="E23" s="632"/>
      <c r="F23" s="632"/>
      <c r="G23" s="632"/>
      <c r="H23" s="632"/>
      <c r="I23" s="632"/>
      <c r="J23" s="632"/>
      <c r="K23" s="57"/>
      <c r="L23" s="57"/>
      <c r="M23" s="57"/>
      <c r="N23" s="632"/>
      <c r="O23" s="632"/>
      <c r="P23" s="632"/>
      <c r="Q23" s="632"/>
      <c r="R23" s="632"/>
      <c r="S23" s="632"/>
      <c r="T23" s="632"/>
      <c r="U23" s="57"/>
      <c r="V23" s="57"/>
      <c r="W23" s="88"/>
      <c r="X23" s="632" t="str">
        <f ca="1">'Исходник '!B12</f>
        <v>Евдокимов А.О.</v>
      </c>
      <c r="Y23" s="632"/>
      <c r="Z23" s="632"/>
      <c r="AA23" s="632"/>
      <c r="AB23" s="632"/>
      <c r="AC23" s="632"/>
      <c r="AD23" s="632"/>
      <c r="AE23" s="632"/>
      <c r="AF23" s="632"/>
      <c r="AG23" s="57"/>
      <c r="AH23" s="57"/>
      <c r="AL23"/>
    </row>
    <row r="24" spans="1:38" ht="18" customHeight="1">
      <c r="A24" s="58"/>
      <c r="B24" s="58"/>
      <c r="C24" s="58"/>
      <c r="D24" s="607" t="s">
        <v>751</v>
      </c>
      <c r="E24" s="607"/>
      <c r="F24" s="607"/>
      <c r="G24" s="607"/>
      <c r="H24" s="607"/>
      <c r="I24" s="607"/>
      <c r="J24" s="607"/>
      <c r="K24" s="58"/>
      <c r="L24" s="58"/>
      <c r="M24" s="58"/>
      <c r="N24" s="607" t="s">
        <v>653</v>
      </c>
      <c r="O24" s="607"/>
      <c r="P24" s="607"/>
      <c r="Q24" s="607"/>
      <c r="R24" s="607"/>
      <c r="S24" s="607"/>
      <c r="T24" s="607"/>
      <c r="U24" s="58"/>
      <c r="V24" s="58"/>
      <c r="X24" s="607" t="s">
        <v>791</v>
      </c>
      <c r="Y24" s="607"/>
      <c r="Z24" s="607"/>
      <c r="AA24" s="607"/>
      <c r="AB24" s="607"/>
      <c r="AC24" s="607"/>
      <c r="AD24" s="607"/>
      <c r="AE24" s="607"/>
      <c r="AF24" s="607"/>
      <c r="AG24" s="58"/>
      <c r="AH24" s="58"/>
      <c r="AL24"/>
    </row>
    <row r="25" spans="1:38" s="89" customFormat="1" ht="12.95" customHeight="1">
      <c r="A25" s="683" t="s">
        <v>794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L25" s="90"/>
    </row>
    <row r="26" spans="1:38" s="27" customFormat="1" ht="12.95" customHeight="1">
      <c r="A26" s="683" t="s">
        <v>795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L26" s="37"/>
    </row>
    <row r="27" spans="1:38" ht="15" customHeight="1">
      <c r="A27" s="57"/>
      <c r="B27" s="57"/>
      <c r="C27" s="57"/>
      <c r="D27" s="57"/>
    </row>
    <row r="28" spans="1:38" ht="12.75" customHeight="1">
      <c r="A28" s="65"/>
      <c r="B28" s="65"/>
      <c r="C28" s="65"/>
      <c r="D28" s="65"/>
    </row>
    <row r="29" spans="1:38" ht="15" customHeight="1">
      <c r="P29" s="57"/>
      <c r="Q29" s="57"/>
      <c r="R29" s="57"/>
      <c r="S29" s="57"/>
      <c r="T29" s="57"/>
      <c r="U29" s="57"/>
      <c r="V29" s="57"/>
      <c r="W29" s="88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8" ht="12.75" customHeight="1">
      <c r="P30" s="58"/>
      <c r="Q30" s="58"/>
      <c r="R30" s="58"/>
      <c r="S30" s="58"/>
      <c r="T30" s="58"/>
      <c r="U30" s="58"/>
      <c r="V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8">
      <c r="P31" s="57"/>
      <c r="Q31" s="57"/>
      <c r="R31" s="57"/>
      <c r="S31" s="57"/>
      <c r="T31" s="57"/>
      <c r="U31" s="57"/>
      <c r="V31" s="57"/>
      <c r="Z31" s="57"/>
      <c r="AA31" s="57"/>
      <c r="AB31" s="57"/>
      <c r="AC31" s="57"/>
      <c r="AD31" s="57"/>
      <c r="AE31" s="57"/>
      <c r="AF31" s="57"/>
      <c r="AG31" s="57"/>
      <c r="AH31" s="57"/>
    </row>
  </sheetData>
  <mergeCells count="69">
    <mergeCell ref="N24:T24"/>
    <mergeCell ref="X24:AF24"/>
    <mergeCell ref="D22:J22"/>
    <mergeCell ref="N22:T22"/>
    <mergeCell ref="X22:AF22"/>
    <mergeCell ref="A25:AI25"/>
    <mergeCell ref="A26:AI26"/>
    <mergeCell ref="A23:C23"/>
    <mergeCell ref="D23:J23"/>
    <mergeCell ref="N23:T23"/>
    <mergeCell ref="X23:AF23"/>
    <mergeCell ref="D24:J24"/>
    <mergeCell ref="W18:Z18"/>
    <mergeCell ref="A19:C19"/>
    <mergeCell ref="D19:J19"/>
    <mergeCell ref="N19:T19"/>
    <mergeCell ref="X19:AF19"/>
    <mergeCell ref="D21:J21"/>
    <mergeCell ref="N21:T21"/>
    <mergeCell ref="X21:AF21"/>
    <mergeCell ref="M18:Q18"/>
    <mergeCell ref="D20:J20"/>
    <mergeCell ref="N20:T20"/>
    <mergeCell ref="X20:AF20"/>
    <mergeCell ref="U17:V17"/>
    <mergeCell ref="W17:Z17"/>
    <mergeCell ref="AA17:AD17"/>
    <mergeCell ref="AE17:AI17"/>
    <mergeCell ref="R18:T18"/>
    <mergeCell ref="U18:V18"/>
    <mergeCell ref="AA18:AD18"/>
    <mergeCell ref="AE18:AI18"/>
    <mergeCell ref="B17:C17"/>
    <mergeCell ref="D17:F17"/>
    <mergeCell ref="G17:L17"/>
    <mergeCell ref="M17:Q17"/>
    <mergeCell ref="R17:T17"/>
    <mergeCell ref="B18:C18"/>
    <mergeCell ref="D18:F18"/>
    <mergeCell ref="G18:L18"/>
    <mergeCell ref="W15:Z16"/>
    <mergeCell ref="AA15:AD16"/>
    <mergeCell ref="AE15:AI16"/>
    <mergeCell ref="R16:T16"/>
    <mergeCell ref="U16:V16"/>
    <mergeCell ref="R15:V15"/>
    <mergeCell ref="M15:Q16"/>
    <mergeCell ref="A9:AI9"/>
    <mergeCell ref="A10:AI10"/>
    <mergeCell ref="A11:AI11"/>
    <mergeCell ref="A12:AD13"/>
    <mergeCell ref="A14:AI14"/>
    <mergeCell ref="A15:A16"/>
    <mergeCell ref="B15:C16"/>
    <mergeCell ref="D15:F16"/>
    <mergeCell ref="G15:L16"/>
    <mergeCell ref="A6:AI6"/>
    <mergeCell ref="A7:AI7"/>
    <mergeCell ref="B8:C8"/>
    <mergeCell ref="F8:J8"/>
    <mergeCell ref="K8:M8"/>
    <mergeCell ref="P8:U8"/>
    <mergeCell ref="V8:W8"/>
    <mergeCell ref="Z4:AI4"/>
    <mergeCell ref="U1:AI1"/>
    <mergeCell ref="B2:D2"/>
    <mergeCell ref="U2:AI2"/>
    <mergeCell ref="U3:AI3"/>
    <mergeCell ref="A5:AI5"/>
  </mergeCells>
  <phoneticPr fontId="0" type="noConversion"/>
  <pageMargins left="0.39374999999999999" right="0.19652800000000001" top="0.59027799999999997" bottom="0.78749999999999998" header="0.51180599999999998" footer="0.19652800000000001"/>
  <pageSetup paperSize="9" fitToWidth="0" fitToHeight="3" orientation="landscape"/>
  <headerFooter>
    <oddFooter>&amp;C&amp;A стр.&amp;P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I31"/>
  <sheetViews>
    <sheetView topLeftCell="A13" workbookViewId="0">
      <selection activeCell="AJ27" sqref="AJ27"/>
    </sheetView>
  </sheetViews>
  <sheetFormatPr defaultRowHeight="12.75"/>
  <cols>
    <col min="1" max="6" width="3.28515625" customWidth="1"/>
    <col min="7" max="7" width="2.85546875" customWidth="1"/>
    <col min="8" max="8" width="1.28515625" hidden="1" customWidth="1"/>
    <col min="9" max="9" width="2.140625" hidden="1" customWidth="1"/>
    <col min="10" max="10" width="1.140625" customWidth="1"/>
    <col min="11" max="11" width="2" customWidth="1"/>
    <col min="12" max="12" width="3.28515625" customWidth="1"/>
    <col min="13" max="13" width="11" customWidth="1"/>
    <col min="14" max="14" width="2.42578125" customWidth="1"/>
    <col min="15" max="15" width="2.140625" customWidth="1"/>
    <col min="16" max="16" width="5.5703125" customWidth="1"/>
    <col min="17" max="17" width="5" customWidth="1"/>
    <col min="18" max="18" width="4" customWidth="1"/>
    <col min="19" max="22" width="3.28515625" customWidth="1"/>
    <col min="23" max="23" width="5.5703125" customWidth="1"/>
    <col min="24" max="29" width="3.28515625" customWidth="1"/>
    <col min="30" max="30" width="1.5703125" customWidth="1"/>
    <col min="31" max="34" width="3.28515625" customWidth="1"/>
  </cols>
  <sheetData>
    <row r="1" spans="1:35" s="55" customFormat="1" ht="17.25" customHeight="1">
      <c r="A1" s="64"/>
      <c r="B1" s="64" t="str">
        <f>'[2]Исходник '!B3</f>
        <v>ООО «ТМ-Электро»</v>
      </c>
      <c r="C1" s="68"/>
      <c r="O1" s="64" t="s">
        <v>489</v>
      </c>
      <c r="R1" s="820">
        <f ca="1">'Исходник '!B19</f>
        <v>0</v>
      </c>
      <c r="S1" s="998"/>
      <c r="T1" s="998"/>
      <c r="U1" s="998"/>
      <c r="V1" s="998"/>
      <c r="W1" s="998"/>
      <c r="X1" s="998"/>
      <c r="Y1" s="998"/>
      <c r="Z1" s="998"/>
      <c r="AA1" s="998"/>
      <c r="AB1" s="998"/>
      <c r="AC1" s="998"/>
      <c r="AD1" s="998"/>
    </row>
    <row r="2" spans="1:35" s="55" customFormat="1" ht="18" customHeight="1">
      <c r="A2" s="64"/>
      <c r="B2" s="504" t="s">
        <v>632</v>
      </c>
      <c r="C2" s="516"/>
      <c r="D2" s="516"/>
      <c r="E2" s="516"/>
      <c r="F2" s="516"/>
      <c r="G2" s="516"/>
      <c r="H2" s="516"/>
      <c r="I2" s="516"/>
      <c r="J2" s="316"/>
      <c r="K2" s="316"/>
      <c r="L2" s="316"/>
      <c r="M2" s="68"/>
      <c r="N2" s="68"/>
      <c r="O2" s="64" t="s">
        <v>491</v>
      </c>
      <c r="Q2" s="68"/>
      <c r="R2" s="820" t="str">
        <f ca="1">'Исходник '!B20</f>
        <v>Фитнес-клуб</v>
      </c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5" s="62" customFormat="1" ht="15.75" customHeight="1">
      <c r="A3" s="324"/>
      <c r="B3" s="820" t="str">
        <f ca="1">CONCATENATE('Исходник '!A5," ",'Исходник '!B5)</f>
        <v>Свидетельство о регистрации № 6231-2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374"/>
      <c r="O3" s="781" t="s">
        <v>494</v>
      </c>
      <c r="P3" s="812"/>
      <c r="Q3" s="820">
        <f ca="1">'Исходник '!B21</f>
        <v>0</v>
      </c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I3" s="375"/>
    </row>
    <row r="4" spans="1:35" s="55" customFormat="1" ht="18" customHeight="1">
      <c r="A4" s="64"/>
      <c r="B4" s="100" t="str">
        <f ca="1">CONCATENATE('Исходник '!A7," ",'Исходник '!B7)</f>
        <v xml:space="preserve">Действительно до «11» января 2022 г. 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4" t="s">
        <v>633</v>
      </c>
      <c r="X4" s="820" t="str">
        <f ca="1">'Исходник '!B34</f>
        <v>29 января 2020г.</v>
      </c>
      <c r="Y4" s="468"/>
      <c r="Z4" s="468"/>
      <c r="AA4" s="468"/>
      <c r="AB4" s="468"/>
      <c r="AC4" s="468"/>
      <c r="AD4" s="468"/>
    </row>
    <row r="5" spans="1:35" s="55" customFormat="1" ht="17.25" customHeight="1">
      <c r="A5" s="517" t="str">
        <f ca="1">CONCATENATE('Исходник '!A16," ",'Исходник '!F19,)</f>
        <v>Протокол  №505-15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</row>
    <row r="6" spans="1:35" s="55" customFormat="1" ht="14.25" customHeight="1">
      <c r="A6" s="609" t="s">
        <v>349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</row>
    <row r="7" spans="1:35" s="55" customFormat="1" ht="15.75" customHeight="1">
      <c r="A7" s="603" t="s">
        <v>350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</row>
    <row r="8" spans="1:35" s="55" customFormat="1" ht="15.75" customHeight="1">
      <c r="A8" s="603" t="s">
        <v>351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</row>
    <row r="9" spans="1:35" s="55" customFormat="1" ht="15.75" customHeight="1">
      <c r="A9" s="610" t="s">
        <v>352</v>
      </c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</row>
    <row r="10" spans="1:35" s="55" customFormat="1" ht="18" customHeight="1">
      <c r="A10" s="612" t="s">
        <v>353</v>
      </c>
      <c r="B10" s="613"/>
      <c r="C10" s="613"/>
      <c r="D10" s="613"/>
      <c r="E10" s="613"/>
      <c r="F10" s="613"/>
      <c r="G10" s="613"/>
      <c r="H10" s="613"/>
      <c r="I10" s="614"/>
      <c r="J10" s="1000" t="s">
        <v>354</v>
      </c>
      <c r="K10" s="1001"/>
      <c r="L10" s="1001"/>
      <c r="M10" s="1002"/>
      <c r="N10" s="612" t="s">
        <v>355</v>
      </c>
      <c r="O10" s="613"/>
      <c r="P10" s="613"/>
      <c r="Q10" s="613"/>
      <c r="R10" s="613"/>
      <c r="S10" s="613"/>
      <c r="T10" s="614"/>
      <c r="U10" s="840" t="s">
        <v>356</v>
      </c>
      <c r="V10" s="841"/>
      <c r="W10" s="841"/>
      <c r="X10" s="841"/>
      <c r="Y10" s="841"/>
      <c r="Z10" s="841"/>
      <c r="AA10" s="841"/>
      <c r="AB10" s="841"/>
      <c r="AC10" s="841"/>
      <c r="AD10" s="999"/>
    </row>
    <row r="11" spans="1:35" s="55" customFormat="1" ht="36" customHeight="1">
      <c r="A11" s="617"/>
      <c r="B11" s="618"/>
      <c r="C11" s="618"/>
      <c r="D11" s="618"/>
      <c r="E11" s="618"/>
      <c r="F11" s="618"/>
      <c r="G11" s="618"/>
      <c r="H11" s="618"/>
      <c r="I11" s="619"/>
      <c r="J11" s="1003"/>
      <c r="K11" s="846"/>
      <c r="L11" s="846"/>
      <c r="M11" s="1004"/>
      <c r="N11" s="617"/>
      <c r="O11" s="618"/>
      <c r="P11" s="618"/>
      <c r="Q11" s="618"/>
      <c r="R11" s="618"/>
      <c r="S11" s="618"/>
      <c r="T11" s="619"/>
      <c r="U11" s="840" t="s">
        <v>357</v>
      </c>
      <c r="V11" s="841"/>
      <c r="W11" s="841"/>
      <c r="X11" s="841"/>
      <c r="Y11" s="999"/>
      <c r="Z11" s="622" t="s">
        <v>358</v>
      </c>
      <c r="AA11" s="841"/>
      <c r="AB11" s="841"/>
      <c r="AC11" s="841"/>
      <c r="AD11" s="999"/>
    </row>
    <row r="12" spans="1:35" s="55" customFormat="1" ht="18" customHeight="1">
      <c r="A12" s="827">
        <v>1</v>
      </c>
      <c r="B12" s="828"/>
      <c r="C12" s="828"/>
      <c r="D12" s="828"/>
      <c r="E12" s="828"/>
      <c r="F12" s="828"/>
      <c r="G12" s="828"/>
      <c r="H12" s="828"/>
      <c r="I12" s="829"/>
      <c r="J12" s="827">
        <v>2</v>
      </c>
      <c r="K12" s="828"/>
      <c r="L12" s="828"/>
      <c r="M12" s="829"/>
      <c r="N12" s="827">
        <v>3</v>
      </c>
      <c r="O12" s="828"/>
      <c r="P12" s="828"/>
      <c r="Q12" s="828"/>
      <c r="R12" s="828"/>
      <c r="S12" s="828"/>
      <c r="T12" s="829"/>
      <c r="U12" s="827">
        <v>4</v>
      </c>
      <c r="V12" s="828"/>
      <c r="W12" s="828"/>
      <c r="X12" s="828"/>
      <c r="Y12" s="829"/>
      <c r="Z12" s="827">
        <v>5</v>
      </c>
      <c r="AA12" s="828"/>
      <c r="AB12" s="828"/>
      <c r="AC12" s="828"/>
      <c r="AD12" s="829"/>
    </row>
    <row r="13" spans="1:35" s="55" customFormat="1" ht="39" customHeight="1">
      <c r="A13" s="824" t="str">
        <f ca="1">'Исходник '!B70</f>
        <v>Testo 540</v>
      </c>
      <c r="B13" s="824"/>
      <c r="C13" s="824"/>
      <c r="D13" s="824"/>
      <c r="E13" s="824"/>
      <c r="F13" s="824"/>
      <c r="G13" s="824"/>
      <c r="H13" s="824"/>
      <c r="I13" s="824"/>
      <c r="J13" s="824" t="str">
        <f ca="1">'Исходник '!C70</f>
        <v>39029382/203</v>
      </c>
      <c r="K13" s="824"/>
      <c r="L13" s="824"/>
      <c r="M13" s="824"/>
      <c r="N13" s="611" t="str">
        <f ca="1">'Исходник '!H70</f>
        <v>(номин. Темп. 250С, ±1 знач.): 3% от изм. вел.</v>
      </c>
      <c r="O13" s="611"/>
      <c r="P13" s="611"/>
      <c r="Q13" s="611"/>
      <c r="R13" s="611"/>
      <c r="S13" s="611"/>
      <c r="T13" s="611"/>
      <c r="U13" s="824" t="str">
        <f ca="1">'Исходник '!N70</f>
        <v>№220</v>
      </c>
      <c r="V13" s="824"/>
      <c r="W13" s="824"/>
      <c r="X13" s="824"/>
      <c r="Y13" s="824"/>
      <c r="Z13" s="1005">
        <f ca="1">'Исходник '!L70</f>
        <v>43917</v>
      </c>
      <c r="AA13" s="824"/>
      <c r="AB13" s="824"/>
      <c r="AC13" s="824"/>
      <c r="AD13" s="824"/>
    </row>
    <row r="14" spans="1:35" s="55" customFormat="1" ht="33.75" customHeight="1">
      <c r="A14" s="553" t="s">
        <v>359</v>
      </c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</row>
    <row r="15" spans="1:35" s="55" customFormat="1" ht="33.75" customHeight="1">
      <c r="A15" s="781" t="s">
        <v>360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</row>
    <row r="16" spans="1:35" ht="41.25" customHeight="1">
      <c r="A16" s="631" t="s">
        <v>361</v>
      </c>
      <c r="B16" s="631"/>
      <c r="C16" s="631"/>
      <c r="D16" s="631"/>
      <c r="E16" s="631"/>
      <c r="F16" s="631"/>
      <c r="G16" s="632" t="s">
        <v>792</v>
      </c>
      <c r="H16" s="632"/>
      <c r="I16" s="632"/>
      <c r="J16" s="632"/>
      <c r="K16" s="632"/>
      <c r="L16" s="632"/>
      <c r="M16" s="632"/>
      <c r="O16" s="632"/>
      <c r="P16" s="632"/>
      <c r="Q16" s="632"/>
      <c r="R16" s="632"/>
      <c r="S16" s="632"/>
      <c r="T16" s="632"/>
      <c r="V16" s="632" t="str">
        <f ca="1">'Исходник '!B13</f>
        <v>Кокшаров С.В.</v>
      </c>
      <c r="W16" s="632"/>
      <c r="X16" s="632"/>
      <c r="Y16" s="632"/>
      <c r="Z16" s="632"/>
      <c r="AA16" s="632"/>
      <c r="AB16" s="632"/>
      <c r="AC16" s="632"/>
      <c r="AD16" s="632"/>
      <c r="AI16" s="58"/>
    </row>
    <row r="17" spans="1:35" s="55" customFormat="1">
      <c r="A17" s="23"/>
      <c r="G17" s="633" t="s">
        <v>751</v>
      </c>
      <c r="H17" s="633"/>
      <c r="I17" s="633"/>
      <c r="J17" s="633"/>
      <c r="K17" s="633"/>
      <c r="L17" s="633"/>
      <c r="M17" s="633"/>
      <c r="O17" s="633" t="s">
        <v>653</v>
      </c>
      <c r="P17" s="633"/>
      <c r="Q17" s="633"/>
      <c r="R17" s="633"/>
      <c r="S17" s="633"/>
      <c r="T17" s="633"/>
      <c r="V17" s="633" t="s">
        <v>791</v>
      </c>
      <c r="W17" s="633"/>
      <c r="X17" s="633"/>
      <c r="Y17" s="633"/>
      <c r="Z17" s="633"/>
      <c r="AA17" s="633"/>
      <c r="AB17" s="633"/>
      <c r="AC17" s="633"/>
      <c r="AD17" s="633"/>
      <c r="AI17" s="57"/>
    </row>
    <row r="18" spans="1:35" s="55" customFormat="1" ht="15.75" customHeight="1">
      <c r="A18" s="781" t="s">
        <v>362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</row>
    <row r="19" spans="1:35" s="55" customFormat="1" ht="117" customHeight="1">
      <c r="A19" s="622" t="s">
        <v>336</v>
      </c>
      <c r="B19" s="464"/>
      <c r="C19" s="457" t="s">
        <v>363</v>
      </c>
      <c r="D19" s="459"/>
      <c r="E19" s="459"/>
      <c r="F19" s="459"/>
      <c r="G19" s="459"/>
      <c r="H19" s="459"/>
      <c r="I19" s="459"/>
      <c r="J19" s="459"/>
      <c r="K19" s="459"/>
      <c r="L19" s="458"/>
      <c r="M19" s="166" t="s">
        <v>364</v>
      </c>
      <c r="N19" s="622" t="s">
        <v>365</v>
      </c>
      <c r="O19" s="623"/>
      <c r="P19" s="623"/>
      <c r="Q19" s="624"/>
      <c r="R19" s="622" t="s">
        <v>366</v>
      </c>
      <c r="S19" s="623"/>
      <c r="T19" s="623"/>
      <c r="U19" s="623"/>
      <c r="V19" s="623"/>
      <c r="W19" s="624"/>
      <c r="X19" s="622" t="s">
        <v>367</v>
      </c>
      <c r="Y19" s="623"/>
      <c r="Z19" s="623"/>
      <c r="AA19" s="623"/>
      <c r="AB19" s="623"/>
      <c r="AC19" s="623"/>
      <c r="AD19" s="624"/>
    </row>
    <row r="20" spans="1:35" s="55" customFormat="1" ht="18" customHeight="1">
      <c r="A20" s="793">
        <v>1</v>
      </c>
      <c r="B20" s="1006"/>
      <c r="C20" s="703">
        <v>2</v>
      </c>
      <c r="D20" s="963"/>
      <c r="E20" s="963"/>
      <c r="F20" s="963"/>
      <c r="G20" s="963"/>
      <c r="H20" s="963"/>
      <c r="I20" s="963"/>
      <c r="J20" s="963"/>
      <c r="K20" s="963"/>
      <c r="L20" s="704"/>
      <c r="M20" s="402">
        <v>3</v>
      </c>
      <c r="N20" s="793">
        <v>4</v>
      </c>
      <c r="O20" s="794"/>
      <c r="P20" s="794"/>
      <c r="Q20" s="795"/>
      <c r="R20" s="793">
        <v>5</v>
      </c>
      <c r="S20" s="794"/>
      <c r="T20" s="794"/>
      <c r="U20" s="794"/>
      <c r="V20" s="794"/>
      <c r="W20" s="795"/>
      <c r="X20" s="793">
        <v>6</v>
      </c>
      <c r="Y20" s="794"/>
      <c r="Z20" s="794"/>
      <c r="AA20" s="794"/>
      <c r="AB20" s="794"/>
      <c r="AC20" s="794"/>
      <c r="AD20" s="795"/>
    </row>
    <row r="21" spans="1:35" s="55" customFormat="1" ht="18" customHeight="1">
      <c r="A21" s="771" t="s">
        <v>368</v>
      </c>
      <c r="B21" s="897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464"/>
    </row>
    <row r="22" spans="1:35" s="55" customFormat="1" ht="18" customHeight="1">
      <c r="A22" s="622">
        <v>1</v>
      </c>
      <c r="B22" s="464"/>
      <c r="C22" s="457" t="s">
        <v>369</v>
      </c>
      <c r="D22" s="459"/>
      <c r="E22" s="459"/>
      <c r="F22" s="459"/>
      <c r="G22" s="459"/>
      <c r="H22" s="459"/>
      <c r="I22" s="459"/>
      <c r="J22" s="459"/>
      <c r="K22" s="459"/>
      <c r="L22" s="458"/>
      <c r="M22" s="166" t="s">
        <v>370</v>
      </c>
      <c r="N22" s="622" t="s">
        <v>371</v>
      </c>
      <c r="O22" s="623"/>
      <c r="P22" s="623"/>
      <c r="Q22" s="624"/>
      <c r="R22" s="622">
        <v>501</v>
      </c>
      <c r="S22" s="623"/>
      <c r="T22" s="623"/>
      <c r="U22" s="623"/>
      <c r="V22" s="623"/>
      <c r="W22" s="624"/>
      <c r="X22" s="622">
        <v>500</v>
      </c>
      <c r="Y22" s="623"/>
      <c r="Z22" s="623"/>
      <c r="AA22" s="623"/>
      <c r="AB22" s="623"/>
      <c r="AC22" s="623"/>
      <c r="AD22" s="624"/>
    </row>
    <row r="23" spans="1:35" ht="29.25" customHeight="1">
      <c r="A23" s="631" t="s">
        <v>333</v>
      </c>
      <c r="B23" s="631"/>
      <c r="C23" s="631"/>
      <c r="D23" s="631"/>
      <c r="E23" s="631"/>
      <c r="F23" s="631"/>
      <c r="G23" s="632" t="s">
        <v>749</v>
      </c>
      <c r="H23" s="632"/>
      <c r="I23" s="632"/>
      <c r="J23" s="632"/>
      <c r="K23" s="632"/>
      <c r="L23" s="632"/>
      <c r="M23" s="632"/>
      <c r="O23" s="632"/>
      <c r="P23" s="632"/>
      <c r="Q23" s="632"/>
      <c r="R23" s="632"/>
      <c r="S23" s="632"/>
      <c r="T23" s="632"/>
      <c r="V23" s="632" t="str">
        <f ca="1">'Исходник '!B12</f>
        <v>Евдокимов А.О.</v>
      </c>
      <c r="W23" s="632"/>
      <c r="X23" s="632"/>
      <c r="Y23" s="632"/>
      <c r="Z23" s="632"/>
      <c r="AA23" s="632"/>
      <c r="AB23" s="632"/>
      <c r="AC23" s="632"/>
      <c r="AD23" s="632"/>
      <c r="AI23" s="58"/>
    </row>
    <row r="24" spans="1:35" s="55" customFormat="1" ht="12" customHeight="1">
      <c r="A24" s="23"/>
      <c r="G24" s="633" t="s">
        <v>751</v>
      </c>
      <c r="H24" s="633"/>
      <c r="I24" s="633"/>
      <c r="J24" s="633"/>
      <c r="K24" s="633"/>
      <c r="L24" s="633"/>
      <c r="M24" s="633"/>
      <c r="O24" s="633" t="s">
        <v>653</v>
      </c>
      <c r="P24" s="633"/>
      <c r="Q24" s="633"/>
      <c r="R24" s="633"/>
      <c r="S24" s="633"/>
      <c r="T24" s="633"/>
      <c r="V24" s="633" t="s">
        <v>791</v>
      </c>
      <c r="W24" s="633"/>
      <c r="X24" s="633"/>
      <c r="Y24" s="633"/>
      <c r="Z24" s="633"/>
      <c r="AA24" s="633"/>
      <c r="AB24" s="633"/>
      <c r="AC24" s="633"/>
      <c r="AD24" s="633"/>
      <c r="AI24" s="57"/>
    </row>
    <row r="25" spans="1:35" ht="23.25" customHeight="1">
      <c r="A25" s="24"/>
      <c r="G25" s="632" t="s">
        <v>792</v>
      </c>
      <c r="H25" s="632"/>
      <c r="I25" s="632"/>
      <c r="J25" s="632"/>
      <c r="K25" s="632"/>
      <c r="L25" s="632"/>
      <c r="M25" s="632"/>
      <c r="O25" s="632"/>
      <c r="P25" s="632"/>
      <c r="Q25" s="632"/>
      <c r="R25" s="632"/>
      <c r="S25" s="632"/>
      <c r="T25" s="632"/>
      <c r="V25" s="632" t="str">
        <f ca="1">'Исходник '!B13</f>
        <v>Кокшаров С.В.</v>
      </c>
      <c r="W25" s="632"/>
      <c r="X25" s="632"/>
      <c r="Y25" s="632"/>
      <c r="Z25" s="632"/>
      <c r="AA25" s="632"/>
      <c r="AB25" s="632"/>
      <c r="AC25" s="632"/>
      <c r="AD25" s="632"/>
      <c r="AI25" s="58"/>
    </row>
    <row r="26" spans="1:35" s="55" customFormat="1">
      <c r="A26" s="23"/>
      <c r="G26" s="633" t="s">
        <v>751</v>
      </c>
      <c r="H26" s="633"/>
      <c r="I26" s="633"/>
      <c r="J26" s="633"/>
      <c r="K26" s="633"/>
      <c r="L26" s="633"/>
      <c r="M26" s="633"/>
      <c r="O26" s="633" t="s">
        <v>653</v>
      </c>
      <c r="P26" s="633"/>
      <c r="Q26" s="633"/>
      <c r="R26" s="633"/>
      <c r="S26" s="633"/>
      <c r="T26" s="633"/>
      <c r="V26" s="633" t="s">
        <v>791</v>
      </c>
      <c r="W26" s="633"/>
      <c r="X26" s="633"/>
      <c r="Y26" s="633"/>
      <c r="Z26" s="633"/>
      <c r="AA26" s="633"/>
      <c r="AB26" s="633"/>
      <c r="AC26" s="633"/>
      <c r="AD26" s="633"/>
      <c r="AI26" s="57"/>
    </row>
    <row r="27" spans="1:35" ht="24.75" customHeight="1">
      <c r="A27" s="631" t="s">
        <v>793</v>
      </c>
      <c r="B27" s="631"/>
      <c r="C27" s="631"/>
      <c r="D27" s="631"/>
      <c r="E27" s="631"/>
      <c r="F27" s="631"/>
      <c r="G27" s="632" t="s">
        <v>749</v>
      </c>
      <c r="H27" s="632"/>
      <c r="I27" s="632"/>
      <c r="J27" s="632"/>
      <c r="K27" s="632"/>
      <c r="L27" s="632"/>
      <c r="M27" s="632"/>
      <c r="O27" s="632"/>
      <c r="P27" s="632"/>
      <c r="Q27" s="632"/>
      <c r="R27" s="632"/>
      <c r="S27" s="632"/>
      <c r="T27" s="632"/>
      <c r="V27" s="632" t="str">
        <f ca="1">'Исходник '!B12</f>
        <v>Евдокимов А.О.</v>
      </c>
      <c r="W27" s="632"/>
      <c r="X27" s="632"/>
      <c r="Y27" s="632"/>
      <c r="Z27" s="632"/>
      <c r="AA27" s="632"/>
      <c r="AB27" s="632"/>
      <c r="AC27" s="632"/>
      <c r="AD27" s="632"/>
      <c r="AI27" s="58"/>
    </row>
    <row r="28" spans="1:35" ht="22.5" customHeight="1">
      <c r="A28" s="23"/>
      <c r="G28" s="633" t="s">
        <v>751</v>
      </c>
      <c r="H28" s="633"/>
      <c r="I28" s="633"/>
      <c r="J28" s="633"/>
      <c r="K28" s="633"/>
      <c r="L28" s="633"/>
      <c r="M28" s="633"/>
      <c r="O28" s="633" t="s">
        <v>653</v>
      </c>
      <c r="P28" s="633"/>
      <c r="Q28" s="633"/>
      <c r="R28" s="633"/>
      <c r="S28" s="633"/>
      <c r="T28" s="633"/>
      <c r="V28" s="633" t="s">
        <v>791</v>
      </c>
      <c r="W28" s="633"/>
      <c r="X28" s="633"/>
      <c r="Y28" s="633"/>
      <c r="Z28" s="633"/>
      <c r="AA28" s="633"/>
      <c r="AB28" s="633"/>
      <c r="AC28" s="633"/>
      <c r="AD28" s="633"/>
      <c r="AI28" s="57"/>
    </row>
    <row r="29" spans="1:35" s="376" customFormat="1" ht="12" customHeight="1">
      <c r="A29" s="634" t="s">
        <v>794</v>
      </c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</row>
    <row r="30" spans="1:35" s="376" customFormat="1" ht="12.75" customHeight="1">
      <c r="A30" s="634" t="s">
        <v>795</v>
      </c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</row>
    <row r="31" spans="1:35" ht="15.75">
      <c r="A31" s="5"/>
    </row>
  </sheetData>
  <mergeCells count="76">
    <mergeCell ref="A29:AD29"/>
    <mergeCell ref="A30:AD30"/>
    <mergeCell ref="A27:F27"/>
    <mergeCell ref="G27:M27"/>
    <mergeCell ref="O27:T27"/>
    <mergeCell ref="V27:AD27"/>
    <mergeCell ref="G28:M28"/>
    <mergeCell ref="O28:T28"/>
    <mergeCell ref="V28:AD28"/>
    <mergeCell ref="G25:M25"/>
    <mergeCell ref="O25:T25"/>
    <mergeCell ref="V25:AD25"/>
    <mergeCell ref="G26:M26"/>
    <mergeCell ref="O26:T26"/>
    <mergeCell ref="V26:AD26"/>
    <mergeCell ref="N22:Q22"/>
    <mergeCell ref="R22:W22"/>
    <mergeCell ref="X22:AD22"/>
    <mergeCell ref="A23:F23"/>
    <mergeCell ref="G23:M23"/>
    <mergeCell ref="O23:T23"/>
    <mergeCell ref="V23:AD23"/>
    <mergeCell ref="A20:B20"/>
    <mergeCell ref="C20:L20"/>
    <mergeCell ref="N20:Q20"/>
    <mergeCell ref="R20:W20"/>
    <mergeCell ref="G24:M24"/>
    <mergeCell ref="O24:T24"/>
    <mergeCell ref="V24:AD24"/>
    <mergeCell ref="A21:AD21"/>
    <mergeCell ref="A22:B22"/>
    <mergeCell ref="C22:L22"/>
    <mergeCell ref="X20:AD20"/>
    <mergeCell ref="G17:M17"/>
    <mergeCell ref="O17:T17"/>
    <mergeCell ref="V17:AD17"/>
    <mergeCell ref="A18:AD18"/>
    <mergeCell ref="A19:B19"/>
    <mergeCell ref="C19:L19"/>
    <mergeCell ref="N19:Q19"/>
    <mergeCell ref="R19:W19"/>
    <mergeCell ref="X19:AD19"/>
    <mergeCell ref="A14:AD14"/>
    <mergeCell ref="A15:AD15"/>
    <mergeCell ref="A16:F16"/>
    <mergeCell ref="G16:M16"/>
    <mergeCell ref="O16:T16"/>
    <mergeCell ref="V16:AD16"/>
    <mergeCell ref="Z13:AD13"/>
    <mergeCell ref="A12:I12"/>
    <mergeCell ref="J12:M12"/>
    <mergeCell ref="N12:T12"/>
    <mergeCell ref="U12:Y12"/>
    <mergeCell ref="Z12:AD12"/>
    <mergeCell ref="A13:I13"/>
    <mergeCell ref="J13:M13"/>
    <mergeCell ref="N13:T13"/>
    <mergeCell ref="U13:Y13"/>
    <mergeCell ref="A7:AD7"/>
    <mergeCell ref="A9:AD9"/>
    <mergeCell ref="U10:AD10"/>
    <mergeCell ref="A10:I11"/>
    <mergeCell ref="J10:M11"/>
    <mergeCell ref="N10:T11"/>
    <mergeCell ref="U11:Y11"/>
    <mergeCell ref="Z11:AD11"/>
    <mergeCell ref="A8:AD8"/>
    <mergeCell ref="R1:AD1"/>
    <mergeCell ref="B2:I2"/>
    <mergeCell ref="R2:AD2"/>
    <mergeCell ref="B3:M3"/>
    <mergeCell ref="O3:P3"/>
    <mergeCell ref="Q3:AD3"/>
    <mergeCell ref="X4:AD4"/>
    <mergeCell ref="A5:AD5"/>
    <mergeCell ref="A6:AD6"/>
  </mergeCells>
  <phoneticPr fontId="0" type="noConversion"/>
  <pageMargins left="0.39374999999999999" right="0.19652800000000001" top="0.59027799999999997" bottom="0.39374999999999999" header="0.51180599999999998" footer="0.19652800000000001"/>
  <pageSetup paperSize="9" fitToWidth="0" fitToHeight="3"/>
  <headerFooter>
    <oddFooter>&amp;C&amp;A стр.&amp;P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G41"/>
  <sheetViews>
    <sheetView topLeftCell="B26" workbookViewId="0">
      <selection activeCell="AJ30" sqref="AJ30"/>
    </sheetView>
  </sheetViews>
  <sheetFormatPr defaultRowHeight="12.75"/>
  <cols>
    <col min="1" max="1" width="2.7109375" customWidth="1"/>
    <col min="2" max="2" width="2" customWidth="1"/>
    <col min="3" max="11" width="2.7109375" customWidth="1"/>
    <col min="12" max="12" width="2.140625" customWidth="1"/>
    <col min="13" max="13" width="2.7109375" customWidth="1"/>
    <col min="14" max="14" width="2.140625" customWidth="1"/>
    <col min="15" max="15" width="9" customWidth="1"/>
    <col min="16" max="16" width="3.140625" customWidth="1"/>
    <col min="17" max="17" width="2.140625" customWidth="1"/>
    <col min="18" max="19" width="2.7109375" customWidth="1"/>
    <col min="20" max="20" width="2.28515625" customWidth="1"/>
    <col min="21" max="26" width="2.7109375" customWidth="1"/>
    <col min="27" max="27" width="4.42578125" customWidth="1"/>
    <col min="28" max="32" width="2.7109375" customWidth="1"/>
    <col min="33" max="33" width="3" customWidth="1"/>
  </cols>
  <sheetData>
    <row r="1" spans="1:33" s="274" customFormat="1" ht="15.75">
      <c r="A1" s="816" t="str">
        <f ca="1">'Исходник '!B3</f>
        <v>ООО «ТМ-Электро»</v>
      </c>
      <c r="B1" s="817"/>
      <c r="C1" s="817"/>
      <c r="D1" s="817"/>
      <c r="E1" s="817"/>
      <c r="F1" s="817"/>
      <c r="G1" s="817"/>
      <c r="H1" s="817"/>
      <c r="I1" s="817"/>
      <c r="J1" s="63"/>
      <c r="K1" s="63"/>
      <c r="L1" s="63"/>
      <c r="M1" s="63"/>
      <c r="N1" s="63"/>
      <c r="O1" s="63"/>
      <c r="P1" s="79" t="str">
        <f ca="1">'Исходник '!A19</f>
        <v>Заказчик:</v>
      </c>
      <c r="Q1" s="63"/>
      <c r="R1" s="273"/>
      <c r="S1" s="63"/>
      <c r="T1" s="818">
        <f ca="1">'Исходник '!B19</f>
        <v>0</v>
      </c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</row>
    <row r="2" spans="1:33" s="171" customFormat="1" ht="15.75">
      <c r="A2" s="504" t="s">
        <v>632</v>
      </c>
      <c r="B2" s="554"/>
      <c r="C2" s="554"/>
      <c r="D2" s="554"/>
      <c r="E2" s="554"/>
      <c r="F2" s="554"/>
      <c r="G2" s="554"/>
      <c r="H2" s="554"/>
      <c r="I2" s="554"/>
      <c r="J2" s="100"/>
      <c r="K2" s="100"/>
      <c r="L2" s="100"/>
      <c r="M2" s="100"/>
      <c r="N2" s="100"/>
      <c r="O2" s="100"/>
      <c r="P2" s="79" t="str">
        <f ca="1">'Исходник '!A20</f>
        <v>Объект:</v>
      </c>
      <c r="Q2" s="63"/>
      <c r="R2" s="273"/>
      <c r="S2" s="63"/>
      <c r="T2" s="818" t="str">
        <f ca="1">'Исходник '!B20</f>
        <v>Фитнес-клуб</v>
      </c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</row>
    <row r="3" spans="1:33" s="274" customFormat="1" ht="17.25" customHeight="1">
      <c r="A3" s="100" t="str">
        <f ca="1">'Исходник '!A5</f>
        <v>Свидетельство о регистрации</v>
      </c>
      <c r="B3" s="63"/>
      <c r="C3" s="63"/>
      <c r="D3" s="63"/>
      <c r="E3" s="63"/>
      <c r="F3" s="63"/>
      <c r="G3" s="63"/>
      <c r="H3" s="63"/>
      <c r="I3" s="63"/>
      <c r="J3" s="63"/>
      <c r="K3" s="100" t="str">
        <f ca="1">'Исходник '!B5</f>
        <v>№ 6231-2</v>
      </c>
      <c r="L3" s="63"/>
      <c r="M3" s="63"/>
      <c r="N3" s="63"/>
      <c r="O3" s="63"/>
      <c r="P3" s="64" t="str">
        <f ca="1">'Исходник '!A21</f>
        <v>Адрес:</v>
      </c>
      <c r="Q3" s="63"/>
      <c r="R3" s="273"/>
      <c r="S3" s="820">
        <f ca="1">'Исходник '!B21</f>
        <v>0</v>
      </c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</row>
    <row r="4" spans="1:33" s="274" customFormat="1" ht="15.75">
      <c r="A4" s="818" t="str">
        <f ca="1">CONCATENATE('Исходник '!A7," ",'Исходник '!B7)</f>
        <v xml:space="preserve">Действительно до «11» января 2022 г. 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63"/>
      <c r="P4" s="79" t="str">
        <f ca="1">'Исходник '!A31</f>
        <v>Дата проведения измерений до:</v>
      </c>
      <c r="Q4" s="63"/>
      <c r="R4" s="273"/>
      <c r="S4" s="63"/>
      <c r="T4" s="63"/>
      <c r="U4" s="63"/>
      <c r="V4" s="63"/>
      <c r="W4" s="63"/>
      <c r="X4" s="63"/>
      <c r="Y4" s="63"/>
      <c r="Z4" s="63"/>
      <c r="AA4" s="63"/>
      <c r="AB4" s="63" t="str">
        <f ca="1">'Исходник '!B31</f>
        <v>29 января 2020г.</v>
      </c>
      <c r="AC4" s="63"/>
      <c r="AD4" s="63"/>
      <c r="AE4" s="63"/>
      <c r="AF4" s="63"/>
    </row>
    <row r="5" spans="1:3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3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 t="s">
        <v>372</v>
      </c>
      <c r="N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s="277" customFormat="1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/>
    </row>
    <row r="9" spans="1:33" s="243" customFormat="1" ht="47.25" customHeight="1">
      <c r="A9" s="679" t="s">
        <v>129</v>
      </c>
      <c r="B9" s="797"/>
      <c r="C9" s="611" t="s">
        <v>373</v>
      </c>
      <c r="D9" s="797"/>
      <c r="E9" s="797"/>
      <c r="F9" s="797"/>
      <c r="G9" s="797"/>
      <c r="H9" s="797"/>
      <c r="I9" s="797"/>
      <c r="J9" s="797"/>
      <c r="K9" s="797"/>
      <c r="L9" s="797"/>
      <c r="M9" s="611" t="s">
        <v>374</v>
      </c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</row>
    <row r="10" spans="1:33" s="243" customFormat="1" ht="16.5" customHeight="1">
      <c r="A10" s="826">
        <v>1</v>
      </c>
      <c r="B10" s="826"/>
      <c r="C10" s="826">
        <v>2</v>
      </c>
      <c r="D10" s="826"/>
      <c r="E10" s="826"/>
      <c r="F10" s="826"/>
      <c r="G10" s="826"/>
      <c r="H10" s="826"/>
      <c r="I10" s="826"/>
      <c r="J10" s="826"/>
      <c r="K10" s="826"/>
      <c r="L10" s="826"/>
      <c r="M10" s="827">
        <v>3</v>
      </c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  <c r="AC10" s="828"/>
      <c r="AD10" s="828"/>
      <c r="AE10" s="828"/>
      <c r="AF10" s="828"/>
      <c r="AG10" s="829"/>
    </row>
    <row r="11" spans="1:33" ht="25.5" customHeight="1">
      <c r="A11" s="824">
        <v>1</v>
      </c>
      <c r="B11" s="824"/>
      <c r="C11" s="830" t="s">
        <v>132</v>
      </c>
      <c r="D11" s="831"/>
      <c r="E11" s="831"/>
      <c r="F11" s="831"/>
      <c r="G11" s="831"/>
      <c r="H11" s="831"/>
      <c r="I11" s="831"/>
      <c r="J11" s="831"/>
      <c r="K11" s="831"/>
      <c r="L11" s="832"/>
      <c r="M11" s="637" t="s">
        <v>375</v>
      </c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9"/>
    </row>
    <row r="12" spans="1:33" ht="35.25" customHeight="1">
      <c r="A12" s="824">
        <v>2</v>
      </c>
      <c r="B12" s="824"/>
      <c r="C12" s="637" t="s">
        <v>829</v>
      </c>
      <c r="D12" s="638"/>
      <c r="E12" s="638"/>
      <c r="F12" s="638"/>
      <c r="G12" s="638"/>
      <c r="H12" s="638"/>
      <c r="I12" s="638"/>
      <c r="J12" s="638"/>
      <c r="K12" s="638"/>
      <c r="L12" s="639"/>
      <c r="M12" s="637" t="s">
        <v>376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</row>
    <row r="13" spans="1:33" ht="35.25" customHeight="1">
      <c r="A13" s="824">
        <v>3</v>
      </c>
      <c r="B13" s="824"/>
      <c r="C13" s="637" t="s">
        <v>377</v>
      </c>
      <c r="D13" s="638"/>
      <c r="E13" s="638"/>
      <c r="F13" s="638"/>
      <c r="G13" s="638"/>
      <c r="H13" s="638"/>
      <c r="I13" s="638"/>
      <c r="J13" s="638"/>
      <c r="K13" s="638"/>
      <c r="L13" s="639"/>
      <c r="M13" s="637" t="s">
        <v>378</v>
      </c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9"/>
    </row>
    <row r="14" spans="1:33" ht="80.25" customHeight="1">
      <c r="A14" s="824">
        <v>4</v>
      </c>
      <c r="B14" s="824"/>
      <c r="C14" s="637" t="s">
        <v>377</v>
      </c>
      <c r="D14" s="638"/>
      <c r="E14" s="638"/>
      <c r="F14" s="638"/>
      <c r="G14" s="638"/>
      <c r="H14" s="638"/>
      <c r="I14" s="638"/>
      <c r="J14" s="638"/>
      <c r="K14" s="638"/>
      <c r="L14" s="639"/>
      <c r="M14" s="637" t="s">
        <v>379</v>
      </c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9"/>
    </row>
    <row r="15" spans="1:33" ht="35.25" customHeight="1">
      <c r="A15" s="824">
        <v>5</v>
      </c>
      <c r="B15" s="824"/>
      <c r="C15" s="637" t="s">
        <v>380</v>
      </c>
      <c r="D15" s="638"/>
      <c r="E15" s="638"/>
      <c r="F15" s="638"/>
      <c r="G15" s="638"/>
      <c r="H15" s="638"/>
      <c r="I15" s="638"/>
      <c r="J15" s="638"/>
      <c r="K15" s="638"/>
      <c r="L15" s="639"/>
      <c r="M15" s="637" t="s">
        <v>381</v>
      </c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9"/>
    </row>
    <row r="16" spans="1:33" ht="35.25" customHeight="1">
      <c r="A16" s="824">
        <v>6</v>
      </c>
      <c r="B16" s="824"/>
      <c r="C16" s="637" t="s">
        <v>382</v>
      </c>
      <c r="D16" s="638"/>
      <c r="E16" s="638"/>
      <c r="F16" s="638"/>
      <c r="G16" s="638"/>
      <c r="H16" s="638"/>
      <c r="I16" s="638"/>
      <c r="J16" s="638"/>
      <c r="K16" s="638"/>
      <c r="L16" s="639"/>
      <c r="M16" s="637" t="s">
        <v>383</v>
      </c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9"/>
    </row>
    <row r="17" spans="1:33" ht="37.5" customHeight="1">
      <c r="A17" s="824">
        <v>7</v>
      </c>
      <c r="B17" s="824"/>
      <c r="C17" s="637" t="s">
        <v>384</v>
      </c>
      <c r="D17" s="638"/>
      <c r="E17" s="638"/>
      <c r="F17" s="638"/>
      <c r="G17" s="638"/>
      <c r="H17" s="638"/>
      <c r="I17" s="638"/>
      <c r="J17" s="638"/>
      <c r="K17" s="638"/>
      <c r="L17" s="639"/>
      <c r="M17" s="637" t="s">
        <v>385</v>
      </c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9"/>
    </row>
    <row r="18" spans="1:33" ht="55.5" customHeight="1">
      <c r="A18" s="824">
        <v>8</v>
      </c>
      <c r="B18" s="824"/>
      <c r="C18" s="637" t="s">
        <v>386</v>
      </c>
      <c r="D18" s="638"/>
      <c r="E18" s="638"/>
      <c r="F18" s="638"/>
      <c r="G18" s="638"/>
      <c r="H18" s="638"/>
      <c r="I18" s="638"/>
      <c r="J18" s="638"/>
      <c r="K18" s="638"/>
      <c r="L18" s="639"/>
      <c r="M18" s="637" t="s">
        <v>387</v>
      </c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9"/>
    </row>
    <row r="19" spans="1:33" ht="36" customHeight="1">
      <c r="A19" s="824">
        <v>9</v>
      </c>
      <c r="B19" s="824"/>
      <c r="C19" s="637" t="s">
        <v>388</v>
      </c>
      <c r="D19" s="638"/>
      <c r="E19" s="638"/>
      <c r="F19" s="638"/>
      <c r="G19" s="638"/>
      <c r="H19" s="638"/>
      <c r="I19" s="638"/>
      <c r="J19" s="638"/>
      <c r="K19" s="638"/>
      <c r="L19" s="639"/>
      <c r="M19" s="637" t="s">
        <v>389</v>
      </c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9"/>
    </row>
    <row r="20" spans="1:33" ht="34.5" customHeight="1">
      <c r="A20" s="824">
        <v>10</v>
      </c>
      <c r="B20" s="824"/>
      <c r="C20" s="637" t="s">
        <v>390</v>
      </c>
      <c r="D20" s="638"/>
      <c r="E20" s="638"/>
      <c r="F20" s="638"/>
      <c r="G20" s="638"/>
      <c r="H20" s="638"/>
      <c r="I20" s="638"/>
      <c r="J20" s="638"/>
      <c r="K20" s="638"/>
      <c r="L20" s="639"/>
      <c r="M20" s="637" t="s">
        <v>391</v>
      </c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9"/>
    </row>
    <row r="21" spans="1:33" ht="33.75" customHeight="1">
      <c r="A21" s="824">
        <v>11</v>
      </c>
      <c r="B21" s="824"/>
      <c r="C21" s="637" t="s">
        <v>392</v>
      </c>
      <c r="D21" s="638"/>
      <c r="E21" s="638"/>
      <c r="F21" s="638"/>
      <c r="G21" s="638"/>
      <c r="H21" s="638"/>
      <c r="I21" s="638"/>
      <c r="J21" s="638"/>
      <c r="K21" s="638"/>
      <c r="L21" s="639"/>
      <c r="M21" s="637" t="s">
        <v>393</v>
      </c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9"/>
    </row>
    <row r="22" spans="1:33" ht="35.25" customHeight="1">
      <c r="A22" s="824">
        <v>12</v>
      </c>
      <c r="B22" s="824"/>
      <c r="C22" s="637" t="s">
        <v>394</v>
      </c>
      <c r="D22" s="638"/>
      <c r="E22" s="638"/>
      <c r="F22" s="638"/>
      <c r="G22" s="638"/>
      <c r="H22" s="638"/>
      <c r="I22" s="638"/>
      <c r="J22" s="638"/>
      <c r="K22" s="638"/>
      <c r="L22" s="639"/>
      <c r="M22" s="637" t="s">
        <v>395</v>
      </c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9"/>
    </row>
    <row r="23" spans="1:33" ht="34.5" customHeight="1">
      <c r="A23" s="824">
        <v>13</v>
      </c>
      <c r="B23" s="824"/>
      <c r="C23" s="637" t="s">
        <v>396</v>
      </c>
      <c r="D23" s="638"/>
      <c r="E23" s="638"/>
      <c r="F23" s="638"/>
      <c r="G23" s="638"/>
      <c r="H23" s="638"/>
      <c r="I23" s="638"/>
      <c r="J23" s="638"/>
      <c r="K23" s="638"/>
      <c r="L23" s="639"/>
      <c r="M23" s="637" t="s">
        <v>397</v>
      </c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9"/>
    </row>
    <row r="24" spans="1:33" ht="33" customHeight="1">
      <c r="A24" s="824">
        <v>14</v>
      </c>
      <c r="B24" s="824"/>
      <c r="C24" s="637" t="s">
        <v>396</v>
      </c>
      <c r="D24" s="638"/>
      <c r="E24" s="638"/>
      <c r="F24" s="638"/>
      <c r="G24" s="638"/>
      <c r="H24" s="638"/>
      <c r="I24" s="638"/>
      <c r="J24" s="638"/>
      <c r="K24" s="638"/>
      <c r="L24" s="639"/>
      <c r="M24" s="637" t="s">
        <v>398</v>
      </c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9"/>
    </row>
    <row r="25" spans="1:33" ht="33.75" customHeight="1">
      <c r="A25" s="824">
        <v>15</v>
      </c>
      <c r="B25" s="824"/>
      <c r="C25" s="637" t="s">
        <v>399</v>
      </c>
      <c r="D25" s="638"/>
      <c r="E25" s="638"/>
      <c r="F25" s="638"/>
      <c r="G25" s="638"/>
      <c r="H25" s="638"/>
      <c r="I25" s="638"/>
      <c r="J25" s="638"/>
      <c r="K25" s="638"/>
      <c r="L25" s="639"/>
      <c r="M25" s="637" t="s">
        <v>400</v>
      </c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9"/>
    </row>
    <row r="26" spans="1:33" ht="57" customHeight="1">
      <c r="A26" s="824">
        <v>16</v>
      </c>
      <c r="B26" s="824"/>
      <c r="C26" s="637" t="s">
        <v>401</v>
      </c>
      <c r="D26" s="638"/>
      <c r="E26" s="638"/>
      <c r="F26" s="638"/>
      <c r="G26" s="638"/>
      <c r="H26" s="638"/>
      <c r="I26" s="638"/>
      <c r="J26" s="638"/>
      <c r="K26" s="638"/>
      <c r="L26" s="639"/>
      <c r="M26" s="637" t="s">
        <v>402</v>
      </c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9"/>
    </row>
    <row r="27" spans="1:33" ht="57" customHeight="1">
      <c r="A27" s="824">
        <v>17</v>
      </c>
      <c r="B27" s="824"/>
      <c r="C27" s="637" t="s">
        <v>401</v>
      </c>
      <c r="D27" s="638"/>
      <c r="E27" s="638"/>
      <c r="F27" s="638"/>
      <c r="G27" s="638"/>
      <c r="H27" s="638"/>
      <c r="I27" s="638"/>
      <c r="J27" s="638"/>
      <c r="K27" s="638"/>
      <c r="L27" s="639"/>
      <c r="M27" s="637" t="s">
        <v>403</v>
      </c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9"/>
    </row>
    <row r="28" spans="1:33" ht="57" customHeight="1">
      <c r="A28" s="824">
        <v>18</v>
      </c>
      <c r="B28" s="824"/>
      <c r="C28" s="637" t="s">
        <v>404</v>
      </c>
      <c r="D28" s="638"/>
      <c r="E28" s="638"/>
      <c r="F28" s="638"/>
      <c r="G28" s="638"/>
      <c r="H28" s="638"/>
      <c r="I28" s="638"/>
      <c r="J28" s="638"/>
      <c r="K28" s="638"/>
      <c r="L28" s="639"/>
      <c r="M28" s="637" t="s">
        <v>405</v>
      </c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638"/>
      <c r="AD28" s="638"/>
      <c r="AE28" s="638"/>
      <c r="AF28" s="638"/>
      <c r="AG28" s="639"/>
    </row>
    <row r="29" spans="1:33" ht="15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</row>
    <row r="30" spans="1:33" ht="15.75">
      <c r="A30" s="844" t="s">
        <v>179</v>
      </c>
      <c r="B30" s="845"/>
      <c r="C30" s="845"/>
      <c r="D30" s="845"/>
      <c r="E30" s="845"/>
      <c r="F30" s="845"/>
      <c r="G30" s="845"/>
      <c r="H30" s="845"/>
      <c r="I30" s="846" t="s">
        <v>180</v>
      </c>
      <c r="J30" s="846"/>
      <c r="K30" s="846"/>
      <c r="L30" s="846"/>
      <c r="M30" s="846"/>
      <c r="N30" s="846"/>
      <c r="O30" s="846"/>
      <c r="P30" s="156"/>
      <c r="Q30" s="846"/>
      <c r="R30" s="846"/>
      <c r="S30" s="846"/>
      <c r="T30" s="846"/>
      <c r="U30" s="846"/>
      <c r="V30" s="846"/>
      <c r="W30" s="846"/>
      <c r="X30" s="156"/>
      <c r="Y30" s="846" t="str">
        <f ca="1">'Исходник '!B12</f>
        <v>Евдокимов А.О.</v>
      </c>
      <c r="Z30" s="846"/>
      <c r="AA30" s="846"/>
      <c r="AB30" s="846"/>
      <c r="AC30" s="846"/>
      <c r="AD30" s="846"/>
      <c r="AE30" s="846"/>
      <c r="AF30" s="791"/>
      <c r="AG30" s="156"/>
    </row>
    <row r="31" spans="1:33" ht="8.25" customHeight="1">
      <c r="A31" s="156"/>
      <c r="B31" s="156"/>
      <c r="C31" s="156"/>
      <c r="D31" s="156"/>
      <c r="E31" s="156"/>
      <c r="F31" s="156"/>
      <c r="G31" s="156"/>
      <c r="H31" s="156"/>
      <c r="I31" s="606" t="s">
        <v>751</v>
      </c>
      <c r="J31" s="606"/>
      <c r="K31" s="606"/>
      <c r="L31" s="606"/>
      <c r="M31" s="606"/>
      <c r="N31" s="606"/>
      <c r="O31" s="606"/>
      <c r="P31" s="156"/>
      <c r="Q31" s="606" t="s">
        <v>653</v>
      </c>
      <c r="R31" s="606"/>
      <c r="S31" s="606"/>
      <c r="T31" s="606"/>
      <c r="U31" s="606"/>
      <c r="V31" s="606"/>
      <c r="W31" s="606"/>
      <c r="X31" s="156"/>
      <c r="Y31" s="606" t="s">
        <v>791</v>
      </c>
      <c r="Z31" s="606"/>
      <c r="AA31" s="606"/>
      <c r="AB31" s="606"/>
      <c r="AC31" s="606"/>
      <c r="AD31" s="606"/>
      <c r="AE31" s="606"/>
      <c r="AF31" s="606"/>
      <c r="AG31" s="156"/>
    </row>
    <row r="32" spans="1:33" ht="15.75">
      <c r="A32" s="5"/>
      <c r="B32" s="5"/>
      <c r="C32" s="5"/>
      <c r="D32" s="5"/>
      <c r="E32" s="5"/>
      <c r="F32" s="5"/>
      <c r="G32" s="5"/>
      <c r="H32" s="5"/>
      <c r="I32" s="508" t="s">
        <v>792</v>
      </c>
      <c r="J32" s="508"/>
      <c r="K32" s="508"/>
      <c r="L32" s="508"/>
      <c r="M32" s="508"/>
      <c r="N32" s="508"/>
      <c r="O32" s="508"/>
      <c r="P32" s="5"/>
      <c r="Q32" s="508"/>
      <c r="R32" s="508"/>
      <c r="S32" s="508"/>
      <c r="T32" s="508"/>
      <c r="U32" s="508"/>
      <c r="V32" s="508"/>
      <c r="W32" s="508"/>
      <c r="X32" s="5"/>
      <c r="Y32" s="508" t="str">
        <f ca="1">'Исходник '!B13</f>
        <v>Кокшаров С.В.</v>
      </c>
      <c r="Z32" s="508"/>
      <c r="AA32" s="508"/>
      <c r="AB32" s="508"/>
      <c r="AC32" s="508"/>
      <c r="AD32" s="508"/>
      <c r="AE32" s="508"/>
      <c r="AF32" s="727"/>
      <c r="AG32" s="5"/>
    </row>
    <row r="33" spans="1:33" ht="9" customHeight="1">
      <c r="A33" s="156"/>
      <c r="B33" s="156"/>
      <c r="C33" s="156"/>
      <c r="D33" s="156"/>
      <c r="E33" s="156"/>
      <c r="F33" s="156"/>
      <c r="G33" s="156"/>
      <c r="H33" s="156"/>
      <c r="I33" s="606" t="s">
        <v>751</v>
      </c>
      <c r="J33" s="606"/>
      <c r="K33" s="606"/>
      <c r="L33" s="606"/>
      <c r="M33" s="606"/>
      <c r="N33" s="606"/>
      <c r="O33" s="606"/>
      <c r="P33" s="156"/>
      <c r="Q33" s="606" t="s">
        <v>653</v>
      </c>
      <c r="R33" s="606"/>
      <c r="S33" s="606"/>
      <c r="T33" s="606"/>
      <c r="U33" s="606"/>
      <c r="V33" s="606"/>
      <c r="W33" s="606"/>
      <c r="X33" s="156"/>
      <c r="Y33" s="606" t="s">
        <v>791</v>
      </c>
      <c r="Z33" s="606"/>
      <c r="AA33" s="606"/>
      <c r="AB33" s="606"/>
      <c r="AC33" s="606"/>
      <c r="AD33" s="606"/>
      <c r="AE33" s="606"/>
      <c r="AF33" s="852"/>
      <c r="AG33" s="156"/>
    </row>
    <row r="34" spans="1:33" ht="31.5" customHeight="1">
      <c r="A34" s="850" t="s">
        <v>181</v>
      </c>
      <c r="B34" s="851"/>
      <c r="C34" s="851"/>
      <c r="D34" s="851"/>
      <c r="E34" s="851"/>
      <c r="F34" s="851"/>
      <c r="G34" s="851"/>
      <c r="H34" s="851"/>
      <c r="I34" s="508" t="s">
        <v>180</v>
      </c>
      <c r="J34" s="508"/>
      <c r="K34" s="508"/>
      <c r="L34" s="508"/>
      <c r="M34" s="508"/>
      <c r="N34" s="508"/>
      <c r="O34" s="508"/>
      <c r="P34" s="156"/>
      <c r="Q34" s="846"/>
      <c r="R34" s="846"/>
      <c r="S34" s="846"/>
      <c r="T34" s="846"/>
      <c r="U34" s="846"/>
      <c r="V34" s="846"/>
      <c r="W34" s="846"/>
      <c r="X34" s="156"/>
      <c r="Y34" s="508" t="str">
        <f ca="1">'Исходник '!B12</f>
        <v>Евдокимов А.О.</v>
      </c>
      <c r="Z34" s="508"/>
      <c r="AA34" s="508"/>
      <c r="AB34" s="508"/>
      <c r="AC34" s="508"/>
      <c r="AD34" s="508"/>
      <c r="AE34" s="508"/>
      <c r="AF34" s="727"/>
      <c r="AG34" s="156"/>
    </row>
    <row r="35" spans="1:33" ht="15.75">
      <c r="A35" s="156"/>
      <c r="B35" s="156"/>
      <c r="C35" s="156"/>
      <c r="D35" s="156"/>
      <c r="E35" s="156"/>
      <c r="F35" s="156"/>
      <c r="G35" s="156"/>
      <c r="H35" s="156"/>
      <c r="I35" s="606" t="s">
        <v>751</v>
      </c>
      <c r="J35" s="606"/>
      <c r="K35" s="606"/>
      <c r="L35" s="606"/>
      <c r="M35" s="606"/>
      <c r="N35" s="606"/>
      <c r="O35" s="606"/>
      <c r="P35" s="156"/>
      <c r="Q35" s="606" t="s">
        <v>653</v>
      </c>
      <c r="R35" s="606"/>
      <c r="S35" s="606"/>
      <c r="T35" s="606"/>
      <c r="U35" s="606"/>
      <c r="V35" s="606"/>
      <c r="W35" s="606"/>
      <c r="X35" s="156"/>
      <c r="Y35" s="606" t="s">
        <v>791</v>
      </c>
      <c r="Z35" s="606"/>
      <c r="AA35" s="606"/>
      <c r="AB35" s="606"/>
      <c r="AC35" s="606"/>
      <c r="AD35" s="606"/>
      <c r="AE35" s="606"/>
      <c r="AF35" s="606"/>
      <c r="AG35" s="156"/>
    </row>
    <row r="36" spans="1:33" ht="15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</row>
    <row r="37" spans="1:33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3" ht="15.7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ht="15.7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ht="15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ht="15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</sheetData>
  <mergeCells count="86">
    <mergeCell ref="Q33:W33"/>
    <mergeCell ref="Y33:AF33"/>
    <mergeCell ref="A34:H34"/>
    <mergeCell ref="I34:O34"/>
    <mergeCell ref="Q34:W34"/>
    <mergeCell ref="Y34:AF34"/>
    <mergeCell ref="I30:O30"/>
    <mergeCell ref="Q30:W30"/>
    <mergeCell ref="Y30:AF30"/>
    <mergeCell ref="I35:O35"/>
    <mergeCell ref="Q35:W35"/>
    <mergeCell ref="Y35:AF35"/>
    <mergeCell ref="I32:O32"/>
    <mergeCell ref="Q32:W32"/>
    <mergeCell ref="Y32:AF32"/>
    <mergeCell ref="I33:O33"/>
    <mergeCell ref="I31:O31"/>
    <mergeCell ref="Q31:W31"/>
    <mergeCell ref="Y31:AF31"/>
    <mergeCell ref="A27:B27"/>
    <mergeCell ref="C27:L27"/>
    <mergeCell ref="M27:AG27"/>
    <mergeCell ref="A28:B28"/>
    <mergeCell ref="C28:L28"/>
    <mergeCell ref="M28:AG28"/>
    <mergeCell ref="A30:H30"/>
    <mergeCell ref="A25:B25"/>
    <mergeCell ref="C25:L25"/>
    <mergeCell ref="M25:AG25"/>
    <mergeCell ref="A26:B26"/>
    <mergeCell ref="C26:L26"/>
    <mergeCell ref="M26:AG26"/>
    <mergeCell ref="A23:B23"/>
    <mergeCell ref="C23:L23"/>
    <mergeCell ref="M23:AG23"/>
    <mergeCell ref="A24:B24"/>
    <mergeCell ref="C24:L24"/>
    <mergeCell ref="M24:AG24"/>
    <mergeCell ref="A21:B21"/>
    <mergeCell ref="C21:L21"/>
    <mergeCell ref="M21:AG21"/>
    <mergeCell ref="A22:B22"/>
    <mergeCell ref="C22:L22"/>
    <mergeCell ref="M22:AG22"/>
    <mergeCell ref="A19:B19"/>
    <mergeCell ref="C19:L19"/>
    <mergeCell ref="M19:AG19"/>
    <mergeCell ref="A20:B20"/>
    <mergeCell ref="C20:L20"/>
    <mergeCell ref="M20:AG20"/>
    <mergeCell ref="A17:B17"/>
    <mergeCell ref="C17:L17"/>
    <mergeCell ref="M17:AG17"/>
    <mergeCell ref="A18:B18"/>
    <mergeCell ref="C18:L18"/>
    <mergeCell ref="M18:AG18"/>
    <mergeCell ref="A15:B15"/>
    <mergeCell ref="C15:L15"/>
    <mergeCell ref="M15:AG15"/>
    <mergeCell ref="A16:B16"/>
    <mergeCell ref="C16:L16"/>
    <mergeCell ref="M16:AG16"/>
    <mergeCell ref="A13:B13"/>
    <mergeCell ref="C13:L13"/>
    <mergeCell ref="M13:AG13"/>
    <mergeCell ref="A14:B14"/>
    <mergeCell ref="C14:L14"/>
    <mergeCell ref="M14:AG14"/>
    <mergeCell ref="C9:L9"/>
    <mergeCell ref="M9:AG9"/>
    <mergeCell ref="A11:B11"/>
    <mergeCell ref="C11:L11"/>
    <mergeCell ref="M11:AG11"/>
    <mergeCell ref="A12:B12"/>
    <mergeCell ref="C12:L12"/>
    <mergeCell ref="M12:AG12"/>
    <mergeCell ref="A10:B10"/>
    <mergeCell ref="C10:L10"/>
    <mergeCell ref="M10:AG10"/>
    <mergeCell ref="A1:I1"/>
    <mergeCell ref="T1:AG1"/>
    <mergeCell ref="A2:I2"/>
    <mergeCell ref="T2:AG2"/>
    <mergeCell ref="S3:AG3"/>
    <mergeCell ref="A4:N4"/>
    <mergeCell ref="A9:B9"/>
  </mergeCells>
  <phoneticPr fontId="0" type="noConversion"/>
  <pageMargins left="0.70833299999999999" right="0.19652800000000001" top="0.370139" bottom="0.57986099999999996" header="0.315278" footer="0.315278"/>
  <pageSetup paperSize="9" fitToWidth="0"/>
  <headerFooter>
    <oddFooter>&amp;CПриложение. к Т.О. №&amp;F 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5"/>
  <sheetViews>
    <sheetView topLeftCell="B1" workbookViewId="0">
      <selection activeCell="AH16" sqref="AH16"/>
    </sheetView>
  </sheetViews>
  <sheetFormatPr defaultRowHeight="15.75" outlineLevelCol="1"/>
  <cols>
    <col min="1" max="1" width="1" style="6" hidden="1" customWidth="1"/>
    <col min="2" max="2" width="2" style="6" customWidth="1"/>
    <col min="3" max="3" width="1.85546875" style="6" customWidth="1"/>
    <col min="4" max="4" width="2" style="6" customWidth="1"/>
    <col min="5" max="10" width="3.28515625" style="6" customWidth="1"/>
    <col min="11" max="11" width="1.5703125" style="6" customWidth="1"/>
    <col min="12" max="12" width="1" style="6" customWidth="1"/>
    <col min="13" max="13" width="3.28515625" style="6" customWidth="1"/>
    <col min="14" max="14" width="3.7109375" style="6" customWidth="1"/>
    <col min="15" max="15" width="2" style="6" customWidth="1"/>
    <col min="16" max="16" width="1.5703125" style="6" customWidth="1"/>
    <col min="17" max="18" width="3.28515625" style="6" customWidth="1"/>
    <col min="19" max="19" width="3.42578125" style="6" customWidth="1"/>
    <col min="20" max="20" width="2.28515625" style="6" customWidth="1"/>
    <col min="21" max="21" width="4" style="6" customWidth="1"/>
    <col min="22" max="22" width="1.7109375" style="6" customWidth="1"/>
    <col min="23" max="25" width="3.28515625" style="6" customWidth="1"/>
    <col min="26" max="26" width="2.28515625" style="6" customWidth="1"/>
    <col min="27" max="27" width="5.28515625" style="6" customWidth="1"/>
    <col min="28" max="28" width="2" style="6" customWidth="1"/>
    <col min="29" max="29" width="7.5703125" style="6" customWidth="1"/>
    <col min="30" max="30" width="9.7109375" style="6" hidden="1" customWidth="1" outlineLevel="1"/>
    <col min="31" max="31" width="3.28515625" style="6" customWidth="1" collapsed="1"/>
    <col min="32" max="32" width="7" style="6" customWidth="1"/>
    <col min="33" max="16384" width="9.140625" style="6"/>
  </cols>
  <sheetData>
    <row r="1" spans="2:32" s="59" customFormat="1" ht="18" customHeight="1">
      <c r="B1" s="9" t="str">
        <f ca="1">'Исходник '!B3</f>
        <v>ООО «ТМ-Электро»</v>
      </c>
      <c r="Q1" s="9" t="s">
        <v>489</v>
      </c>
      <c r="U1" s="514">
        <f ca="1">'Исходник '!B19</f>
        <v>0</v>
      </c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</row>
    <row r="2" spans="2:32" s="59" customFormat="1" ht="18" customHeight="1">
      <c r="B2" s="242" t="s">
        <v>632</v>
      </c>
      <c r="C2" s="242"/>
      <c r="D2" s="242"/>
      <c r="E2" s="242"/>
      <c r="F2" s="242"/>
      <c r="G2" s="242"/>
      <c r="H2" s="242"/>
      <c r="I2" s="242"/>
      <c r="J2" s="242"/>
      <c r="K2" s="242"/>
      <c r="Q2" s="9" t="s">
        <v>491</v>
      </c>
      <c r="T2" s="2" t="str">
        <f ca="1">'Исходник '!B20</f>
        <v>Фитнес-клуб</v>
      </c>
      <c r="U2"/>
      <c r="V2"/>
      <c r="W2"/>
      <c r="X2"/>
      <c r="Y2"/>
      <c r="Z2"/>
      <c r="AA2"/>
      <c r="AB2"/>
      <c r="AC2"/>
      <c r="AD2"/>
      <c r="AE2"/>
      <c r="AF2"/>
    </row>
    <row r="3" spans="2:32" s="59" customFormat="1" ht="18" customHeight="1">
      <c r="B3" s="2" t="str">
        <f ca="1">CONCATENATE('Исходник '!A5," ",'Исходник '!B5)</f>
        <v>Свидетельство о регистрации № 6231-2</v>
      </c>
      <c r="Q3" s="9" t="s">
        <v>494</v>
      </c>
      <c r="T3" s="2">
        <f ca="1">'Исходник '!B21</f>
        <v>0</v>
      </c>
      <c r="U3"/>
      <c r="V3"/>
      <c r="W3"/>
      <c r="X3"/>
      <c r="Y3"/>
      <c r="Z3"/>
      <c r="AA3"/>
      <c r="AB3"/>
      <c r="AC3"/>
      <c r="AD3"/>
      <c r="AE3"/>
      <c r="AF3"/>
    </row>
    <row r="4" spans="2:32" s="59" customFormat="1" ht="18" customHeight="1">
      <c r="B4" s="2" t="str">
        <f ca="1">CONCATENATE('Исходник '!A7," ",'Исходник '!B7)</f>
        <v xml:space="preserve">Действительно до «11» января 2022 г. </v>
      </c>
      <c r="Q4" s="9" t="s">
        <v>633</v>
      </c>
      <c r="T4" s="100"/>
      <c r="AB4" s="2" t="str">
        <f ca="1">'Исходник '!B34</f>
        <v>29 января 2020г.</v>
      </c>
    </row>
    <row r="5" spans="2:32" s="35" customFormat="1" ht="13.5" customHeight="1"/>
    <row r="6" spans="2:32" s="35" customFormat="1" ht="15" customHeight="1"/>
    <row r="7" spans="2:32" ht="20.25" customHeight="1">
      <c r="B7" s="515" t="s">
        <v>634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</row>
    <row r="8" spans="2:32" ht="15.75" customHeight="1">
      <c r="B8" s="517" t="s">
        <v>635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</row>
    <row r="9" spans="2:32" s="156" customFormat="1" ht="32.25" customHeight="1">
      <c r="B9" s="519" t="s">
        <v>636</v>
      </c>
      <c r="C9" s="520"/>
      <c r="D9" s="520"/>
      <c r="E9" s="521" t="s">
        <v>637</v>
      </c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3"/>
      <c r="W9" s="519" t="s">
        <v>638</v>
      </c>
      <c r="X9" s="524"/>
      <c r="Y9" s="524"/>
      <c r="Z9" s="524"/>
      <c r="AA9" s="525" t="s">
        <v>639</v>
      </c>
      <c r="AB9" s="526"/>
      <c r="AC9" s="527"/>
      <c r="AD9" s="353"/>
      <c r="AE9" s="525" t="s">
        <v>640</v>
      </c>
      <c r="AF9" s="527"/>
    </row>
    <row r="10" spans="2:32" s="156" customFormat="1" ht="18" customHeight="1">
      <c r="B10" s="529">
        <v>1</v>
      </c>
      <c r="C10" s="520"/>
      <c r="D10" s="520"/>
      <c r="E10" s="530">
        <v>2</v>
      </c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2"/>
      <c r="W10" s="533">
        <v>3</v>
      </c>
      <c r="X10" s="534"/>
      <c r="Y10" s="534"/>
      <c r="Z10" s="535"/>
      <c r="AA10" s="533">
        <v>4</v>
      </c>
      <c r="AB10" s="534"/>
      <c r="AC10" s="534"/>
      <c r="AD10" s="335">
        <v>1</v>
      </c>
      <c r="AE10" s="529">
        <v>5</v>
      </c>
      <c r="AF10" s="529"/>
    </row>
    <row r="11" spans="2:32" ht="18" customHeight="1">
      <c r="B11" s="528">
        <v>1</v>
      </c>
      <c r="C11" s="520"/>
      <c r="D11" s="520"/>
      <c r="E11" s="536" t="s">
        <v>641</v>
      </c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8"/>
      <c r="W11" s="528" t="s">
        <v>589</v>
      </c>
      <c r="X11" s="528"/>
      <c r="Y11" s="528"/>
      <c r="Z11" s="528"/>
      <c r="AA11" s="539">
        <v>1</v>
      </c>
      <c r="AB11" s="540"/>
      <c r="AC11" s="541"/>
      <c r="AD11" s="166">
        <f t="shared" ref="AD11:AD21" si="0">AD10+AA11</f>
        <v>2</v>
      </c>
      <c r="AE11" s="528">
        <f t="shared" ref="AE11:AE21" si="1">IF(AA11=1,AD11,CONCATENATE(AD10+1,"-",AD11))</f>
        <v>2</v>
      </c>
      <c r="AF11" s="528"/>
    </row>
    <row r="12" spans="2:32" ht="18" customHeight="1">
      <c r="B12" s="528">
        <v>2</v>
      </c>
      <c r="C12" s="520"/>
      <c r="D12" s="520"/>
      <c r="E12" s="536" t="s">
        <v>642</v>
      </c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8"/>
      <c r="W12" s="528" t="s">
        <v>589</v>
      </c>
      <c r="X12" s="528"/>
      <c r="Y12" s="528"/>
      <c r="Z12" s="528"/>
      <c r="AA12" s="539">
        <v>1</v>
      </c>
      <c r="AB12" s="540"/>
      <c r="AC12" s="541"/>
      <c r="AD12" s="166">
        <f t="shared" si="0"/>
        <v>3</v>
      </c>
      <c r="AE12" s="528">
        <f t="shared" si="1"/>
        <v>3</v>
      </c>
      <c r="AF12" s="528"/>
    </row>
    <row r="13" spans="2:32" ht="18" customHeight="1">
      <c r="B13" s="528">
        <v>3</v>
      </c>
      <c r="C13" s="520"/>
      <c r="D13" s="520"/>
      <c r="E13" s="542" t="s">
        <v>643</v>
      </c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4"/>
      <c r="W13" s="545" t="s">
        <v>589</v>
      </c>
      <c r="X13" s="546"/>
      <c r="Y13" s="546"/>
      <c r="Z13" s="547"/>
      <c r="AA13" s="545">
        <v>1</v>
      </c>
      <c r="AB13" s="546"/>
      <c r="AC13" s="547"/>
      <c r="AD13" s="166">
        <f t="shared" si="0"/>
        <v>4</v>
      </c>
      <c r="AE13" s="528">
        <f t="shared" si="1"/>
        <v>4</v>
      </c>
      <c r="AF13" s="528"/>
    </row>
    <row r="14" spans="2:32" ht="18" customHeight="1">
      <c r="B14" s="528">
        <v>4</v>
      </c>
      <c r="C14" s="520"/>
      <c r="D14" s="520"/>
      <c r="E14" s="542" t="s">
        <v>644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4"/>
      <c r="W14" s="545" t="s">
        <v>589</v>
      </c>
      <c r="X14" s="546"/>
      <c r="Y14" s="546"/>
      <c r="Z14" s="547"/>
      <c r="AA14" s="545">
        <v>2</v>
      </c>
      <c r="AB14" s="546"/>
      <c r="AC14" s="547"/>
      <c r="AD14" s="166">
        <f t="shared" si="0"/>
        <v>6</v>
      </c>
      <c r="AE14" s="528" t="str">
        <f t="shared" si="1"/>
        <v>5-6</v>
      </c>
      <c r="AF14" s="528"/>
    </row>
    <row r="15" spans="2:32" ht="18" customHeight="1">
      <c r="B15" s="528">
        <v>5</v>
      </c>
      <c r="C15" s="520"/>
      <c r="D15" s="520"/>
      <c r="E15" s="542" t="s">
        <v>645</v>
      </c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4"/>
      <c r="W15" s="548">
        <v>1</v>
      </c>
      <c r="X15" s="548"/>
      <c r="Y15" s="548"/>
      <c r="Z15" s="548"/>
      <c r="AA15" s="545">
        <v>2</v>
      </c>
      <c r="AB15" s="546"/>
      <c r="AC15" s="547"/>
      <c r="AD15" s="166">
        <f t="shared" si="0"/>
        <v>8</v>
      </c>
      <c r="AE15" s="528" t="str">
        <f t="shared" si="1"/>
        <v>7-8</v>
      </c>
      <c r="AF15" s="528"/>
    </row>
    <row r="16" spans="2:32" ht="47.25" customHeight="1">
      <c r="B16" s="528">
        <v>6</v>
      </c>
      <c r="C16" s="520"/>
      <c r="D16" s="520"/>
      <c r="E16" s="542" t="s">
        <v>646</v>
      </c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4"/>
      <c r="W16" s="548">
        <v>2</v>
      </c>
      <c r="X16" s="548"/>
      <c r="Y16" s="548"/>
      <c r="Z16" s="548"/>
      <c r="AA16" s="545">
        <v>3</v>
      </c>
      <c r="AB16" s="546"/>
      <c r="AC16" s="547"/>
      <c r="AD16" s="166">
        <f t="shared" si="0"/>
        <v>11</v>
      </c>
      <c r="AE16" s="528" t="str">
        <f t="shared" si="1"/>
        <v>9-11</v>
      </c>
      <c r="AF16" s="528"/>
    </row>
    <row r="17" spans="1:32" ht="30.75" customHeight="1">
      <c r="B17" s="528">
        <v>7</v>
      </c>
      <c r="C17" s="520"/>
      <c r="D17" s="520"/>
      <c r="E17" s="542" t="s">
        <v>647</v>
      </c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4"/>
      <c r="W17" s="545">
        <v>3</v>
      </c>
      <c r="X17" s="546"/>
      <c r="Y17" s="546"/>
      <c r="Z17" s="547"/>
      <c r="AA17" s="545">
        <v>5</v>
      </c>
      <c r="AB17" s="546"/>
      <c r="AC17" s="547"/>
      <c r="AD17" s="166">
        <f t="shared" si="0"/>
        <v>16</v>
      </c>
      <c r="AE17" s="528" t="str">
        <f t="shared" si="1"/>
        <v>12-16</v>
      </c>
      <c r="AF17" s="528"/>
    </row>
    <row r="18" spans="1:32" ht="46.5" customHeight="1">
      <c r="B18" s="528">
        <v>8</v>
      </c>
      <c r="C18" s="520"/>
      <c r="D18" s="520"/>
      <c r="E18" s="542" t="s">
        <v>648</v>
      </c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4"/>
      <c r="W18" s="548">
        <v>4</v>
      </c>
      <c r="X18" s="548"/>
      <c r="Y18" s="548"/>
      <c r="Z18" s="548"/>
      <c r="AA18" s="545">
        <v>7</v>
      </c>
      <c r="AB18" s="546"/>
      <c r="AC18" s="547"/>
      <c r="AD18" s="166">
        <f t="shared" si="0"/>
        <v>23</v>
      </c>
      <c r="AE18" s="528" t="str">
        <f t="shared" si="1"/>
        <v>17-23</v>
      </c>
      <c r="AF18" s="528"/>
    </row>
    <row r="19" spans="1:32" ht="32.25" customHeight="1">
      <c r="B19" s="528">
        <v>9</v>
      </c>
      <c r="C19" s="520"/>
      <c r="D19" s="520"/>
      <c r="E19" s="542" t="s">
        <v>649</v>
      </c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4"/>
      <c r="W19" s="548">
        <v>6</v>
      </c>
      <c r="X19" s="548"/>
      <c r="Y19" s="548"/>
      <c r="Z19" s="548"/>
      <c r="AA19" s="545">
        <v>3</v>
      </c>
      <c r="AB19" s="546"/>
      <c r="AC19" s="547"/>
      <c r="AD19" s="166">
        <f t="shared" si="0"/>
        <v>26</v>
      </c>
      <c r="AE19" s="528" t="str">
        <f t="shared" si="1"/>
        <v>24-26</v>
      </c>
      <c r="AF19" s="528"/>
    </row>
    <row r="20" spans="1:32" ht="18" customHeight="1">
      <c r="B20" s="528">
        <v>10</v>
      </c>
      <c r="C20" s="520"/>
      <c r="D20" s="520"/>
      <c r="E20" s="542" t="s">
        <v>650</v>
      </c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4"/>
      <c r="W20" s="548" t="s">
        <v>589</v>
      </c>
      <c r="X20" s="548"/>
      <c r="Y20" s="548"/>
      <c r="Z20" s="548"/>
      <c r="AA20" s="545">
        <v>4</v>
      </c>
      <c r="AB20" s="546"/>
      <c r="AC20" s="547"/>
      <c r="AD20" s="166">
        <f t="shared" si="0"/>
        <v>30</v>
      </c>
      <c r="AE20" s="528" t="str">
        <f t="shared" si="1"/>
        <v>27-30</v>
      </c>
      <c r="AF20" s="528"/>
    </row>
    <row r="21" spans="1:32" ht="18" customHeight="1">
      <c r="B21" s="528">
        <v>11</v>
      </c>
      <c r="C21" s="520"/>
      <c r="D21" s="520"/>
      <c r="E21" s="542" t="s">
        <v>651</v>
      </c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4"/>
      <c r="W21" s="548" t="s">
        <v>589</v>
      </c>
      <c r="X21" s="548"/>
      <c r="Y21" s="548"/>
      <c r="Z21" s="548"/>
      <c r="AA21" s="545">
        <v>2</v>
      </c>
      <c r="AB21" s="546"/>
      <c r="AC21" s="547"/>
      <c r="AD21" s="166">
        <f t="shared" si="0"/>
        <v>32</v>
      </c>
      <c r="AE21" s="528" t="str">
        <f t="shared" si="1"/>
        <v>31-32</v>
      </c>
      <c r="AF21" s="528"/>
    </row>
    <row r="22" spans="1:32" s="59" customFormat="1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32" s="59" customFormat="1" ht="18" customHeight="1">
      <c r="A23" s="31"/>
      <c r="B23" s="31"/>
      <c r="C23" s="551" t="s">
        <v>472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552"/>
      <c r="Q23" s="552"/>
      <c r="R23" s="552"/>
      <c r="S23" s="552"/>
      <c r="T23" s="552"/>
      <c r="U23" s="552"/>
      <c r="V23" s="266"/>
      <c r="W23" s="553" t="str">
        <f ca="1">'Исходник '!B12</f>
        <v>Евдокимов А.О.</v>
      </c>
      <c r="X23" s="554"/>
      <c r="Y23" s="554"/>
      <c r="Z23" s="554"/>
      <c r="AA23" s="554"/>
      <c r="AB23" s="554"/>
    </row>
    <row r="24" spans="1:32" s="59" customFormat="1" ht="16.5" customHeight="1">
      <c r="A24" s="31"/>
      <c r="B24" s="555" t="s">
        <v>652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7" t="s">
        <v>653</v>
      </c>
      <c r="Q24" s="558"/>
      <c r="R24" s="558"/>
      <c r="S24" s="558"/>
      <c r="T24" s="558"/>
      <c r="U24" s="558"/>
      <c r="V24" s="31"/>
      <c r="W24" s="31"/>
      <c r="X24" s="31"/>
    </row>
    <row r="25" spans="1:32" s="59" customFormat="1" ht="16.5" customHeight="1">
      <c r="A25" s="31"/>
      <c r="B25" s="31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32" s="59" customFormat="1" ht="16.5" customHeight="1">
      <c r="A26" s="31"/>
      <c r="B26" s="31"/>
      <c r="C26" s="382"/>
      <c r="D26" s="382"/>
      <c r="E26" s="381"/>
      <c r="F26" s="381"/>
      <c r="G26" s="381"/>
      <c r="H26" s="381"/>
      <c r="I26" s="381"/>
      <c r="J26" s="381"/>
      <c r="K26" s="31"/>
      <c r="L26" s="31"/>
      <c r="M26" s="382"/>
      <c r="N26" s="382"/>
      <c r="O26" s="382"/>
      <c r="P26" s="382"/>
      <c r="Q26" s="382"/>
      <c r="R26" s="382"/>
      <c r="S26" s="382"/>
      <c r="T26" s="31"/>
      <c r="U26" s="31"/>
      <c r="V26" s="31"/>
      <c r="W26" s="31"/>
      <c r="X26" s="31"/>
    </row>
    <row r="27" spans="1:32" s="59" customFormat="1" ht="15.75" customHeight="1">
      <c r="A27" s="31"/>
      <c r="B27" s="31"/>
      <c r="C27" s="31"/>
      <c r="D27" s="31"/>
      <c r="E27" s="383"/>
      <c r="F27" s="383"/>
      <c r="G27" s="383"/>
      <c r="H27" s="383"/>
      <c r="I27" s="383"/>
      <c r="J27" s="383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32" s="59" customFormat="1" ht="18" hidden="1" customHeight="1">
      <c r="C28" s="549">
        <v>5</v>
      </c>
      <c r="D28" s="550"/>
      <c r="E28" s="559" t="s">
        <v>644</v>
      </c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1"/>
      <c r="W28" s="562" t="s">
        <v>589</v>
      </c>
      <c r="X28" s="563"/>
      <c r="Y28" s="563"/>
      <c r="Z28" s="564"/>
      <c r="AA28" s="562">
        <v>1</v>
      </c>
      <c r="AB28" s="563"/>
      <c r="AC28" s="564"/>
      <c r="AD28" s="380" t="e">
        <f>#REF!+AA28</f>
        <v>#REF!</v>
      </c>
      <c r="AE28" s="549" t="e">
        <f>IF(AA28=1,AD28,CONCATENATE(#REF!+1,"-",AD28))</f>
        <v>#REF!</v>
      </c>
      <c r="AF28" s="550"/>
    </row>
    <row r="29" spans="1:32" s="59" customFormat="1" ht="32.25" customHeight="1"/>
    <row r="30" spans="1:32" s="59" customFormat="1" ht="15.75" customHeight="1"/>
    <row r="31" spans="1:32" s="59" customFormat="1" ht="31.5" customHeight="1"/>
    <row r="32" spans="1:32" ht="15.75" customHeight="1">
      <c r="N32" s="59"/>
    </row>
    <row r="33" spans="14:14" ht="13.5" customHeight="1"/>
    <row r="34" spans="14:14" s="59" customFormat="1" ht="15.75" customHeight="1">
      <c r="N34" s="6"/>
    </row>
    <row r="35" spans="14:14" s="59" customFormat="1"/>
    <row r="36" spans="14:14" s="59" customFormat="1"/>
    <row r="37" spans="14:14" s="59" customFormat="1" ht="15.75" customHeight="1"/>
    <row r="38" spans="14:14" s="59" customFormat="1"/>
    <row r="39" spans="14:14" s="59" customFormat="1"/>
    <row r="40" spans="14:14" s="59" customFormat="1" ht="15.75" customHeight="1"/>
    <row r="41" spans="14:14" s="59" customFormat="1"/>
    <row r="42" spans="14:14" s="59" customFormat="1"/>
    <row r="43" spans="14:14" s="59" customFormat="1" ht="15.75" customHeight="1"/>
    <row r="44" spans="14:14" s="59" customFormat="1"/>
    <row r="45" spans="14:14" s="59" customFormat="1"/>
    <row r="46" spans="14:14" s="59" customFormat="1"/>
    <row r="47" spans="14:14" s="59" customFormat="1" ht="15.75" customHeight="1"/>
    <row r="48" spans="14:14" s="59" customFormat="1"/>
    <row r="49" spans="14:14" s="59" customFormat="1"/>
    <row r="50" spans="14:14" s="59" customFormat="1" ht="31.5" customHeight="1"/>
    <row r="51" spans="14:14" s="59" customFormat="1" ht="15.75" customHeight="1"/>
    <row r="52" spans="14:14" s="59" customFormat="1"/>
    <row r="53" spans="14:14" s="59" customFormat="1"/>
    <row r="54" spans="14:14" s="59" customFormat="1"/>
    <row r="55" spans="14:14" s="59" customFormat="1" ht="15.75" customHeight="1"/>
    <row r="56" spans="14:14" s="59" customFormat="1"/>
    <row r="57" spans="14:14" s="59" customFormat="1"/>
    <row r="58" spans="14:14" s="59" customFormat="1" ht="15.75" customHeight="1"/>
    <row r="59" spans="14:14" ht="18.75" customHeight="1">
      <c r="N59" s="59"/>
    </row>
    <row r="60" spans="14:14" ht="11.25" customHeight="1"/>
    <row r="61" spans="14:14" ht="15.75" customHeight="1"/>
    <row r="64" spans="14:14" ht="28.5" customHeight="1"/>
    <row r="65" ht="15.75" customHeight="1"/>
  </sheetData>
  <mergeCells count="78">
    <mergeCell ref="AE28:AF28"/>
    <mergeCell ref="C23:O23"/>
    <mergeCell ref="P23:U23"/>
    <mergeCell ref="W23:AB23"/>
    <mergeCell ref="B24:O24"/>
    <mergeCell ref="P24:U24"/>
    <mergeCell ref="C28:D28"/>
    <mergeCell ref="E28:V28"/>
    <mergeCell ref="W28:Z28"/>
    <mergeCell ref="AA28:AC28"/>
    <mergeCell ref="AE21:AF21"/>
    <mergeCell ref="B20:D20"/>
    <mergeCell ref="E20:V20"/>
    <mergeCell ref="W20:Z20"/>
    <mergeCell ref="AA20:AC20"/>
    <mergeCell ref="AE20:AF20"/>
    <mergeCell ref="B21:D21"/>
    <mergeCell ref="E21:V21"/>
    <mergeCell ref="W21:Z21"/>
    <mergeCell ref="AA21:AC21"/>
    <mergeCell ref="AE19:AF19"/>
    <mergeCell ref="B18:D18"/>
    <mergeCell ref="E18:V18"/>
    <mergeCell ref="W18:Z18"/>
    <mergeCell ref="AA18:AC18"/>
    <mergeCell ref="AE18:AF18"/>
    <mergeCell ref="B19:D19"/>
    <mergeCell ref="E19:V19"/>
    <mergeCell ref="W19:Z19"/>
    <mergeCell ref="AA19:AC19"/>
    <mergeCell ref="AE17:AF17"/>
    <mergeCell ref="B16:D16"/>
    <mergeCell ref="E16:V16"/>
    <mergeCell ref="W16:Z16"/>
    <mergeCell ref="AA16:AC16"/>
    <mergeCell ref="AE16:AF16"/>
    <mergeCell ref="B17:D17"/>
    <mergeCell ref="E17:V17"/>
    <mergeCell ref="W17:Z17"/>
    <mergeCell ref="AA17:AC17"/>
    <mergeCell ref="AE15:AF15"/>
    <mergeCell ref="B14:D14"/>
    <mergeCell ref="E14:V14"/>
    <mergeCell ref="W14:Z14"/>
    <mergeCell ref="AA14:AC14"/>
    <mergeCell ref="AE14:AF14"/>
    <mergeCell ref="B15:D15"/>
    <mergeCell ref="E15:V15"/>
    <mergeCell ref="W15:Z15"/>
    <mergeCell ref="AA15:AC15"/>
    <mergeCell ref="AE13:AF13"/>
    <mergeCell ref="B12:D12"/>
    <mergeCell ref="E12:V12"/>
    <mergeCell ref="W12:Z12"/>
    <mergeCell ref="AA12:AC12"/>
    <mergeCell ref="AE12:AF12"/>
    <mergeCell ref="B13:D13"/>
    <mergeCell ref="E13:V13"/>
    <mergeCell ref="W13:Z13"/>
    <mergeCell ref="AA13:AC13"/>
    <mergeCell ref="AE11:AF11"/>
    <mergeCell ref="B10:D10"/>
    <mergeCell ref="E10:V10"/>
    <mergeCell ref="W10:Z10"/>
    <mergeCell ref="AA10:AC10"/>
    <mergeCell ref="AE10:AF10"/>
    <mergeCell ref="B11:D11"/>
    <mergeCell ref="E11:V11"/>
    <mergeCell ref="W11:Z11"/>
    <mergeCell ref="AA11:AC11"/>
    <mergeCell ref="U1:AF1"/>
    <mergeCell ref="B7:AE7"/>
    <mergeCell ref="B8:AE8"/>
    <mergeCell ref="B9:D9"/>
    <mergeCell ref="E9:V9"/>
    <mergeCell ref="W9:Z9"/>
    <mergeCell ref="AA9:AC9"/>
    <mergeCell ref="AE9:AF9"/>
  </mergeCells>
  <phoneticPr fontId="0" type="noConversion"/>
  <pageMargins left="0.70833299999999999" right="0.309722" top="0.74791700000000005" bottom="0.74791700000000005" header="0.32013900000000001" footer="0.315278"/>
  <pageSetup paperSize="9" fitToWidth="0"/>
  <headerFooter>
    <oddFooter>&amp;C&amp;"Times New Roman"&amp;A 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workbookViewId="0">
      <selection activeCell="AG29" sqref="AG29"/>
    </sheetView>
  </sheetViews>
  <sheetFormatPr defaultRowHeight="12.75"/>
  <cols>
    <col min="1" max="1" width="2.7109375" style="7" customWidth="1"/>
    <col min="2" max="10" width="3.28515625" style="7" customWidth="1"/>
    <col min="11" max="11" width="4" style="7" customWidth="1"/>
    <col min="12" max="24" width="3.28515625" style="7" customWidth="1"/>
    <col min="25" max="25" width="2.7109375" style="7" customWidth="1"/>
    <col min="26" max="27" width="3.28515625" style="7" customWidth="1"/>
    <col min="28" max="28" width="1.5703125" style="7" customWidth="1"/>
    <col min="29" max="29" width="1.7109375" style="7" customWidth="1"/>
    <col min="30" max="30" width="5.140625" style="7" hidden="1" customWidth="1"/>
    <col min="31" max="16384" width="9.140625" style="7"/>
  </cols>
  <sheetData>
    <row r="1" spans="1:37" ht="15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  <c r="AD1" s="109"/>
    </row>
    <row r="2" spans="1:37" ht="15.75">
      <c r="A2" s="1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32"/>
      <c r="AD2" s="232"/>
    </row>
    <row r="3" spans="1:37" ht="20.25">
      <c r="A3" s="110"/>
      <c r="B3" s="15"/>
      <c r="C3" s="15"/>
      <c r="AC3" s="111"/>
      <c r="AD3" s="111"/>
    </row>
    <row r="4" spans="1:37" s="76" customFormat="1" ht="22.5">
      <c r="A4" s="303"/>
      <c r="B4" s="567" t="s">
        <v>654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305"/>
      <c r="AD4" s="305"/>
    </row>
    <row r="5" spans="1:37" s="117" customFormat="1" ht="18.75">
      <c r="A5" s="116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8"/>
      <c r="AD5" s="308"/>
    </row>
    <row r="6" spans="1:37" s="117" customFormat="1" ht="18.75">
      <c r="A6" s="116"/>
      <c r="B6" s="354"/>
      <c r="C6" s="354"/>
      <c r="AC6" s="308"/>
      <c r="AD6" s="308"/>
    </row>
    <row r="7" spans="1:37" s="117" customFormat="1" ht="20.100000000000001" customHeight="1">
      <c r="A7" s="355" t="s">
        <v>655</v>
      </c>
      <c r="B7" s="354" t="s">
        <v>656</v>
      </c>
      <c r="C7" s="354"/>
      <c r="L7" s="568">
        <f ca="1">'Исходник '!B19</f>
        <v>0</v>
      </c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313"/>
      <c r="AD7" s="308"/>
    </row>
    <row r="8" spans="1:37" s="115" customFormat="1" ht="20.100000000000001" customHeight="1">
      <c r="A8" s="231"/>
      <c r="B8" s="119"/>
      <c r="C8" s="119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4"/>
      <c r="AD8" s="114"/>
    </row>
    <row r="9" spans="1:37" s="115" customFormat="1" ht="20.100000000000001" customHeight="1">
      <c r="A9" s="231"/>
      <c r="B9" s="119"/>
      <c r="C9" s="119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4"/>
      <c r="AD9" s="114"/>
    </row>
    <row r="10" spans="1:37" s="115" customFormat="1" ht="20.100000000000001" customHeight="1">
      <c r="A10" s="231"/>
      <c r="B10" s="119"/>
      <c r="C10" s="119"/>
      <c r="AC10" s="114"/>
      <c r="AD10" s="114"/>
      <c r="AF10" s="11"/>
      <c r="AG10" s="11"/>
      <c r="AH10" s="11"/>
      <c r="AI10" s="11"/>
      <c r="AJ10" s="11"/>
      <c r="AK10"/>
    </row>
    <row r="11" spans="1:37" s="117" customFormat="1" ht="21.75" customHeight="1">
      <c r="A11" s="355" t="s">
        <v>657</v>
      </c>
      <c r="B11" s="354" t="s">
        <v>658</v>
      </c>
      <c r="C11" s="354"/>
      <c r="O11" s="570">
        <f ca="1">'Исходник '!B21</f>
        <v>0</v>
      </c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356"/>
      <c r="AD11" s="356"/>
    </row>
    <row r="12" spans="1:37" s="59" customFormat="1" ht="20.25" customHeight="1">
      <c r="A12" s="357"/>
      <c r="K12" s="570" t="str">
        <f ca="1">'Исходник '!B20</f>
        <v>Фитнес-клуб</v>
      </c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5"/>
      <c r="AC12" s="313"/>
      <c r="AD12" s="358"/>
    </row>
    <row r="13" spans="1:37" s="59" customFormat="1" ht="71.25" customHeight="1">
      <c r="A13" s="116" t="s">
        <v>659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70" t="str">
        <f ca="1">'Исходник '!H14</f>
        <v>Щиты силовые и распределительные; вводные, распределительные и групповые линии.</v>
      </c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359"/>
      <c r="AC13" s="360"/>
      <c r="AD13" s="55"/>
    </row>
    <row r="14" spans="1:37" s="115" customFormat="1" ht="35.25" customHeight="1">
      <c r="A14" s="112"/>
      <c r="B14" s="11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14"/>
      <c r="AD14" s="114"/>
    </row>
    <row r="15" spans="1:37" s="117" customFormat="1" ht="20.100000000000001" customHeight="1">
      <c r="A15" s="355" t="s">
        <v>660</v>
      </c>
      <c r="B15" s="354" t="s">
        <v>661</v>
      </c>
      <c r="C15" s="354"/>
      <c r="H15" s="315"/>
      <c r="I15" s="315"/>
      <c r="J15" s="315"/>
      <c r="K15" s="315"/>
      <c r="L15" s="315"/>
      <c r="M15" s="315"/>
      <c r="N15" s="315"/>
      <c r="O15" s="361"/>
      <c r="P15" s="361"/>
      <c r="Q15" s="362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363"/>
      <c r="AD15" s="308"/>
    </row>
    <row r="16" spans="1:37" s="117" customFormat="1" ht="20.100000000000001" customHeight="1">
      <c r="A16" s="355"/>
      <c r="B16" s="574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308"/>
      <c r="AD16" s="308"/>
    </row>
    <row r="17" spans="1:30" s="117" customFormat="1" ht="20.100000000000001" customHeight="1">
      <c r="A17" s="355"/>
      <c r="B17" s="354" t="s">
        <v>662</v>
      </c>
      <c r="C17" s="354"/>
      <c r="H17" s="310"/>
      <c r="I17" s="576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308"/>
      <c r="AD17" s="308"/>
    </row>
    <row r="18" spans="1:30" s="117" customFormat="1" ht="20.100000000000001" customHeight="1">
      <c r="A18" s="355"/>
      <c r="B18" s="354" t="s">
        <v>530</v>
      </c>
      <c r="C18" s="354"/>
      <c r="F18" s="578"/>
      <c r="G18" s="579"/>
      <c r="H18" s="579"/>
      <c r="I18" s="566"/>
      <c r="J18" s="566"/>
      <c r="K18" s="566"/>
      <c r="L18" s="364"/>
      <c r="M18" s="364"/>
      <c r="N18" s="364"/>
      <c r="O18" s="365"/>
      <c r="P18" s="365"/>
      <c r="Q18" s="365"/>
      <c r="R18" s="365"/>
      <c r="S18" s="365"/>
      <c r="T18" s="365"/>
      <c r="U18" s="365"/>
      <c r="V18" s="365"/>
      <c r="W18" s="364"/>
      <c r="X18" s="364"/>
      <c r="Y18" s="364"/>
      <c r="Z18" s="364"/>
      <c r="AA18" s="364"/>
      <c r="AB18" s="364"/>
      <c r="AC18" s="308"/>
      <c r="AD18" s="308"/>
    </row>
    <row r="19" spans="1:30" s="117" customFormat="1" ht="20.100000000000001" customHeight="1">
      <c r="A19" s="355"/>
      <c r="B19" s="354" t="s">
        <v>663</v>
      </c>
      <c r="C19" s="354"/>
      <c r="H19" s="310"/>
      <c r="I19" s="310"/>
      <c r="J19" s="565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308"/>
      <c r="AD19" s="308"/>
    </row>
    <row r="20" spans="1:30" s="115" customFormat="1" ht="20.100000000000001" customHeight="1">
      <c r="A20" s="231"/>
      <c r="B20" s="119"/>
      <c r="C20" s="119"/>
      <c r="H20" s="118"/>
      <c r="I20" s="118"/>
      <c r="J20" s="118"/>
      <c r="K20" s="118"/>
      <c r="L20" s="118"/>
      <c r="M20" s="118"/>
      <c r="N20" s="118"/>
      <c r="AC20" s="114"/>
      <c r="AD20" s="114"/>
    </row>
    <row r="21" spans="1:30" s="115" customFormat="1" ht="20.100000000000001" customHeight="1">
      <c r="A21" s="231"/>
      <c r="B21" s="119"/>
      <c r="C21" s="119"/>
      <c r="AC21" s="114"/>
      <c r="AD21" s="114"/>
    </row>
    <row r="22" spans="1:30" s="115" customFormat="1" ht="20.100000000000001" customHeight="1">
      <c r="A22" s="231"/>
      <c r="B22" s="119"/>
      <c r="C22" s="119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4"/>
      <c r="AD22" s="114"/>
    </row>
    <row r="23" spans="1:30" s="117" customFormat="1" ht="20.100000000000001" customHeight="1">
      <c r="A23" s="355" t="s">
        <v>664</v>
      </c>
      <c r="B23" s="354" t="s">
        <v>665</v>
      </c>
      <c r="C23" s="354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574"/>
      <c r="V23" s="574"/>
      <c r="W23" s="574"/>
      <c r="X23" s="574"/>
      <c r="Y23" s="574"/>
      <c r="Z23" s="574"/>
      <c r="AA23" s="574"/>
      <c r="AB23" s="574"/>
      <c r="AC23" s="308"/>
      <c r="AD23" s="308"/>
    </row>
    <row r="24" spans="1:30" s="117" customFormat="1" ht="20.100000000000001" customHeight="1">
      <c r="A24" s="355"/>
      <c r="B24" s="574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308"/>
      <c r="AD24" s="308"/>
    </row>
    <row r="25" spans="1:30" s="117" customFormat="1" ht="20.100000000000001" customHeight="1">
      <c r="A25" s="355"/>
      <c r="B25" s="354" t="s">
        <v>662</v>
      </c>
      <c r="C25" s="354"/>
      <c r="H25" s="366"/>
      <c r="I25" s="576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364"/>
      <c r="AC25" s="308"/>
      <c r="AD25" s="308"/>
    </row>
    <row r="26" spans="1:30" s="117" customFormat="1" ht="20.100000000000001" customHeight="1">
      <c r="A26" s="355"/>
      <c r="B26" s="354" t="s">
        <v>530</v>
      </c>
      <c r="C26" s="354"/>
      <c r="F26" s="574"/>
      <c r="G26" s="575"/>
      <c r="H26" s="575"/>
      <c r="I26" s="575"/>
      <c r="J26" s="575"/>
      <c r="K26" s="575"/>
      <c r="L26" s="575"/>
      <c r="M26" s="575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08"/>
      <c r="AD26" s="308"/>
    </row>
    <row r="27" spans="1:30" s="117" customFormat="1" ht="20.100000000000001" customHeight="1">
      <c r="A27" s="355"/>
      <c r="B27" s="354" t="s">
        <v>663</v>
      </c>
      <c r="C27" s="354"/>
      <c r="H27" s="310"/>
      <c r="I27" s="310"/>
      <c r="J27" s="565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308"/>
      <c r="AD27" s="308"/>
    </row>
    <row r="28" spans="1:30" s="115" customFormat="1" ht="55.5" customHeight="1">
      <c r="A28" s="231"/>
      <c r="B28" s="119"/>
      <c r="C28" s="119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4"/>
      <c r="AD28" s="114"/>
    </row>
    <row r="29" spans="1:30" s="115" customFormat="1" ht="20.100000000000001" customHeight="1">
      <c r="A29" s="231"/>
      <c r="B29" s="119"/>
      <c r="C29" s="119"/>
      <c r="H29" s="118"/>
      <c r="I29" s="118"/>
      <c r="J29" s="118"/>
      <c r="K29" s="118"/>
      <c r="L29" s="118"/>
      <c r="M29" s="118"/>
      <c r="N29" s="118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14"/>
      <c r="AD29" s="114"/>
    </row>
    <row r="30" spans="1:30" s="117" customFormat="1" ht="20.100000000000001" customHeight="1">
      <c r="A30" s="355" t="s">
        <v>666</v>
      </c>
      <c r="B30" s="354" t="s">
        <v>496</v>
      </c>
      <c r="C30" s="354"/>
      <c r="N30" s="574" t="str">
        <f ca="1">CONCATENATE('Исходник '!B22," ",'Исходник '!C22," ",'Исходник '!D22)</f>
        <v>23 января 2020г.  - 29 января 2020г.</v>
      </c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308"/>
      <c r="AD30" s="308"/>
    </row>
    <row r="31" spans="1:30" s="115" customFormat="1" ht="20.100000000000001" customHeight="1">
      <c r="A31" s="231"/>
      <c r="B31" s="119"/>
      <c r="C31" s="119"/>
      <c r="AC31" s="114"/>
      <c r="AD31" s="114"/>
    </row>
    <row r="32" spans="1:30" s="115" customFormat="1" ht="14.25" customHeight="1">
      <c r="A32" s="112"/>
      <c r="B32" s="113"/>
      <c r="AC32" s="114"/>
      <c r="AD32" s="114"/>
    </row>
    <row r="33" spans="1:30" s="115" customFormat="1" ht="20.100000000000001" customHeight="1">
      <c r="A33" s="127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  <c r="AD33" s="114"/>
    </row>
    <row r="34" spans="1:30" s="115" customFormat="1" ht="20.100000000000001" customHeight="1">
      <c r="B34" s="113"/>
    </row>
    <row r="35" spans="1:30" s="115" customFormat="1" ht="20.100000000000001" customHeight="1">
      <c r="B35" s="113"/>
    </row>
    <row r="36" spans="1:30" s="115" customFormat="1" ht="20.100000000000001" customHeight="1">
      <c r="B36" s="113"/>
    </row>
    <row r="37" spans="1:30" s="115" customFormat="1" ht="20.100000000000001" customHeight="1">
      <c r="B37" s="113"/>
    </row>
    <row r="38" spans="1:30" s="115" customFormat="1" ht="20.100000000000001" customHeight="1">
      <c r="B38" s="113"/>
    </row>
    <row r="39" spans="1:30" s="115" customFormat="1" ht="20.100000000000001" customHeight="1">
      <c r="B39" s="113"/>
    </row>
    <row r="40" spans="1:30" s="115" customFormat="1" ht="18.75">
      <c r="B40" s="113"/>
    </row>
    <row r="41" spans="1:30" s="115" customFormat="1" ht="18.75">
      <c r="B41" s="113"/>
    </row>
    <row r="42" spans="1:30" s="115" customFormat="1" ht="18.75">
      <c r="B42" s="113"/>
    </row>
    <row r="43" spans="1:30" s="115" customFormat="1" ht="18.75">
      <c r="B43" s="113"/>
    </row>
    <row r="44" spans="1:30" s="115" customFormat="1" ht="18.75">
      <c r="B44" s="113"/>
    </row>
    <row r="45" spans="1:30" s="115" customFormat="1" ht="18.75">
      <c r="B45" s="113"/>
    </row>
    <row r="46" spans="1:30" s="115" customFormat="1" ht="18.75">
      <c r="B46" s="113"/>
    </row>
    <row r="47" spans="1:30" s="115" customFormat="1" ht="18.75">
      <c r="B47" s="113"/>
    </row>
    <row r="48" spans="1:30" s="115" customFormat="1" ht="18.75">
      <c r="B48" s="113"/>
    </row>
    <row r="49" spans="2:30" s="115" customFormat="1" ht="18.75">
      <c r="B49" s="113"/>
    </row>
    <row r="50" spans="2:30" s="115" customFormat="1" ht="18.75">
      <c r="B50" s="131"/>
    </row>
    <row r="51" spans="2:30" s="115" customFormat="1" ht="18.75"/>
    <row r="52" spans="2:30" s="115" customFormat="1" ht="18.75"/>
    <row r="53" spans="2:30" s="115" customFormat="1" ht="18.75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30" s="115" customFormat="1" ht="18.7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30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AD55" s="2"/>
    </row>
    <row r="56" spans="2:30" ht="15">
      <c r="B56" s="2"/>
      <c r="C56" s="2"/>
      <c r="D56" s="2"/>
      <c r="E56" s="2"/>
      <c r="F56" s="2"/>
      <c r="G56" s="2"/>
      <c r="AD56" s="2"/>
    </row>
    <row r="57" spans="2:30" ht="15">
      <c r="B57" s="21"/>
    </row>
    <row r="58" spans="2:30" ht="15.75">
      <c r="B58" s="6"/>
    </row>
  </sheetData>
  <mergeCells count="16">
    <mergeCell ref="N30:AB30"/>
    <mergeCell ref="U23:AB23"/>
    <mergeCell ref="B24:AB24"/>
    <mergeCell ref="I25:AA25"/>
    <mergeCell ref="F26:M26"/>
    <mergeCell ref="J27:AB27"/>
    <mergeCell ref="J19:AB19"/>
    <mergeCell ref="B4:AB4"/>
    <mergeCell ref="L7:AB7"/>
    <mergeCell ref="O11:AB11"/>
    <mergeCell ref="K12:AA12"/>
    <mergeCell ref="L13:AA13"/>
    <mergeCell ref="R15:AB15"/>
    <mergeCell ref="B16:AB16"/>
    <mergeCell ref="I17:AB17"/>
    <mergeCell ref="F18:K18"/>
  </mergeCells>
  <phoneticPr fontId="0" type="noConversion"/>
  <pageMargins left="0.92986100000000005" right="0.220139" top="0.59027799999999997" bottom="0.78749999999999998" header="0.51180599999999998" footer="0.36458299999999999"/>
  <pageSetup paperSize="9" fitToWidth="0"/>
  <headerFooter>
    <oddFooter>&amp;CПаспорт к Т.О. №&amp;F, 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40"/>
  <sheetViews>
    <sheetView topLeftCell="A7" zoomScale="115" workbookViewId="0">
      <selection activeCell="F20" sqref="F20"/>
    </sheetView>
  </sheetViews>
  <sheetFormatPr defaultRowHeight="12.75"/>
  <cols>
    <col min="1" max="1" width="3.42578125" customWidth="1"/>
    <col min="2" max="2" width="12.5703125" customWidth="1"/>
    <col min="3" max="3" width="15.140625" customWidth="1"/>
    <col min="4" max="4" width="16.7109375" customWidth="1"/>
    <col min="5" max="5" width="14.85546875" customWidth="1"/>
    <col min="6" max="6" width="23.28515625" customWidth="1"/>
    <col min="7" max="7" width="24.28515625" customWidth="1"/>
    <col min="8" max="8" width="6.85546875" customWidth="1"/>
    <col min="9" max="9" width="26.85546875" customWidth="1"/>
    <col min="10" max="34" width="3.28515625" customWidth="1"/>
  </cols>
  <sheetData>
    <row r="1" spans="1:37" s="37" customFormat="1" ht="27.75" customHeight="1">
      <c r="A1" s="581" t="s">
        <v>487</v>
      </c>
      <c r="B1" s="581"/>
      <c r="C1" s="581"/>
      <c r="D1" s="581"/>
      <c r="E1" s="581"/>
      <c r="F1" s="581"/>
      <c r="G1" s="581"/>
      <c r="H1" s="581"/>
      <c r="I1" s="581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7" s="339" customFormat="1" ht="80.25" customHeight="1">
      <c r="A2" s="321" t="s">
        <v>540</v>
      </c>
      <c r="B2" s="321" t="s">
        <v>667</v>
      </c>
      <c r="C2" s="321" t="s">
        <v>668</v>
      </c>
      <c r="D2" s="321" t="s">
        <v>669</v>
      </c>
      <c r="E2" s="259" t="s">
        <v>670</v>
      </c>
      <c r="F2" s="259" t="s">
        <v>671</v>
      </c>
      <c r="G2" s="259" t="s">
        <v>672</v>
      </c>
      <c r="H2" s="259" t="s">
        <v>673</v>
      </c>
      <c r="I2" s="259" t="s">
        <v>674</v>
      </c>
    </row>
    <row r="3" spans="1:37" s="134" customFormat="1" ht="24.75" customHeight="1">
      <c r="A3" s="260">
        <v>1</v>
      </c>
      <c r="B3" s="261">
        <v>2</v>
      </c>
      <c r="C3" s="261">
        <v>3</v>
      </c>
      <c r="D3" s="261">
        <v>4</v>
      </c>
      <c r="E3" s="261">
        <v>5</v>
      </c>
      <c r="F3" s="261">
        <v>6</v>
      </c>
      <c r="G3" s="261">
        <v>7</v>
      </c>
      <c r="H3" s="261">
        <v>8</v>
      </c>
      <c r="I3" s="261">
        <v>9</v>
      </c>
    </row>
    <row r="4" spans="1:37" s="340" customFormat="1" ht="137.25" customHeight="1">
      <c r="A4" s="367">
        <v>1</v>
      </c>
      <c r="B4" s="368" t="s">
        <v>675</v>
      </c>
      <c r="C4" s="368" t="s">
        <v>676</v>
      </c>
      <c r="D4" s="368" t="s">
        <v>677</v>
      </c>
      <c r="E4" s="368" t="s">
        <v>678</v>
      </c>
      <c r="F4" s="368" t="s">
        <v>679</v>
      </c>
      <c r="G4" s="368" t="s">
        <v>680</v>
      </c>
      <c r="H4" s="367">
        <v>1</v>
      </c>
      <c r="I4" s="368" t="s">
        <v>681</v>
      </c>
    </row>
    <row r="5" spans="1:37" s="340" customFormat="1" ht="43.5" customHeight="1">
      <c r="A5" s="582">
        <v>2</v>
      </c>
      <c r="B5" s="585" t="s">
        <v>682</v>
      </c>
      <c r="C5" s="588" t="s">
        <v>683</v>
      </c>
      <c r="D5" s="588" t="s">
        <v>684</v>
      </c>
      <c r="E5" s="588" t="s">
        <v>685</v>
      </c>
      <c r="F5" s="369" t="s">
        <v>686</v>
      </c>
      <c r="G5" s="588" t="s">
        <v>687</v>
      </c>
      <c r="H5" s="582">
        <v>3</v>
      </c>
      <c r="I5" s="588" t="s">
        <v>688</v>
      </c>
    </row>
    <row r="6" spans="1:37" s="340" customFormat="1" ht="43.5" customHeight="1">
      <c r="A6" s="583"/>
      <c r="B6" s="586"/>
      <c r="C6" s="589"/>
      <c r="D6" s="589"/>
      <c r="E6" s="589"/>
      <c r="F6" s="370" t="s">
        <v>689</v>
      </c>
      <c r="G6" s="591"/>
      <c r="H6" s="593"/>
      <c r="I6" s="591"/>
    </row>
    <row r="7" spans="1:37" s="340" customFormat="1" ht="52.5" customHeight="1">
      <c r="A7" s="583"/>
      <c r="B7" s="586"/>
      <c r="C7" s="589"/>
      <c r="D7" s="589"/>
      <c r="E7" s="589"/>
      <c r="F7" s="370" t="s">
        <v>690</v>
      </c>
      <c r="G7" s="591"/>
      <c r="H7" s="593"/>
      <c r="I7" s="591"/>
    </row>
    <row r="8" spans="1:37" ht="88.5" customHeight="1">
      <c r="A8" s="584"/>
      <c r="B8" s="587"/>
      <c r="C8" s="590"/>
      <c r="D8" s="590"/>
      <c r="E8" s="590"/>
      <c r="F8" s="399" t="s">
        <v>691</v>
      </c>
      <c r="G8" s="592"/>
      <c r="H8" s="594"/>
      <c r="I8" s="592"/>
    </row>
    <row r="9" spans="1:37" s="333" customFormat="1" ht="122.25" customHeight="1">
      <c r="A9" s="332">
        <v>3</v>
      </c>
      <c r="B9" s="331" t="s">
        <v>692</v>
      </c>
      <c r="C9" s="331" t="s">
        <v>693</v>
      </c>
      <c r="D9" s="331" t="s">
        <v>694</v>
      </c>
      <c r="E9" s="331" t="s">
        <v>695</v>
      </c>
      <c r="F9" s="331" t="s">
        <v>696</v>
      </c>
      <c r="G9" s="331" t="s">
        <v>697</v>
      </c>
      <c r="H9" s="332" t="s">
        <v>698</v>
      </c>
      <c r="I9" s="331" t="s">
        <v>699</v>
      </c>
    </row>
    <row r="10" spans="1:37" s="281" customFormat="1" ht="44.25" customHeight="1">
      <c r="A10" s="330">
        <v>4</v>
      </c>
      <c r="B10" s="329" t="s">
        <v>700</v>
      </c>
      <c r="C10" s="329" t="s">
        <v>701</v>
      </c>
      <c r="D10" s="329" t="s">
        <v>702</v>
      </c>
      <c r="E10" s="329" t="s">
        <v>703</v>
      </c>
      <c r="F10" s="329" t="s">
        <v>704</v>
      </c>
      <c r="G10" s="329" t="s">
        <v>705</v>
      </c>
      <c r="H10" s="330">
        <v>6</v>
      </c>
      <c r="I10" s="329" t="s">
        <v>706</v>
      </c>
    </row>
    <row r="11" spans="1:37" ht="18" customHeight="1"/>
    <row r="12" spans="1:37" s="55" customFormat="1" ht="18" customHeight="1">
      <c r="C12" s="580" t="str">
        <f ca="1">'Исходник '!A12</f>
        <v>Руководитель электролаборатории:</v>
      </c>
      <c r="D12" s="580"/>
      <c r="E12" s="580"/>
      <c r="F12" s="371"/>
      <c r="G12" s="296" t="str">
        <f ca="1">'Исходник '!B12</f>
        <v>Евдокимов А.О.</v>
      </c>
    </row>
    <row r="13" spans="1:37" s="55" customFormat="1" ht="18" customHeight="1">
      <c r="F13" s="284" t="s">
        <v>627</v>
      </c>
    </row>
    <row r="14" spans="1:37" ht="18" customHeight="1"/>
    <row r="15" spans="1:37" ht="18" customHeight="1"/>
    <row r="16" spans="1:3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5" ht="18" customHeight="1"/>
    <row r="66" spans="1:5" s="55" customFormat="1" ht="18" customHeight="1"/>
    <row r="67" spans="1:5" ht="18" customHeight="1">
      <c r="E67" s="65"/>
    </row>
    <row r="68" spans="1:5" ht="18" customHeight="1">
      <c r="E68" s="57"/>
    </row>
    <row r="69" spans="1:5" ht="18" customHeight="1">
      <c r="E69" s="65"/>
    </row>
    <row r="70" spans="1:5" ht="18" customHeight="1">
      <c r="E70" s="57"/>
    </row>
    <row r="71" spans="1:5" ht="18" customHeight="1">
      <c r="E71" s="65"/>
    </row>
    <row r="72" spans="1:5" ht="18" customHeight="1">
      <c r="E72" s="57"/>
    </row>
    <row r="73" spans="1:5" s="27" customFormat="1" ht="18" customHeight="1"/>
    <row r="74" spans="1:5" s="27" customFormat="1" ht="18" customHeight="1"/>
    <row r="75" spans="1:5" ht="18" customHeight="1">
      <c r="A75" s="5"/>
    </row>
    <row r="76" spans="1:5" ht="18" customHeight="1"/>
    <row r="77" spans="1:5" ht="18" customHeight="1"/>
    <row r="78" spans="1:5" ht="18" customHeight="1"/>
    <row r="79" spans="1:5" ht="18" customHeight="1"/>
    <row r="80" spans="1:5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</sheetData>
  <mergeCells count="10">
    <mergeCell ref="C12:E12"/>
    <mergeCell ref="A1:I1"/>
    <mergeCell ref="A5:A8"/>
    <mergeCell ref="B5:B8"/>
    <mergeCell ref="C5:C8"/>
    <mergeCell ref="D5:D8"/>
    <mergeCell ref="E5:E8"/>
    <mergeCell ref="G5:G8"/>
    <mergeCell ref="H5:H8"/>
    <mergeCell ref="I5:I8"/>
  </mergeCells>
  <phoneticPr fontId="0" type="noConversion"/>
  <dataValidations count="1">
    <dataValidation type="list" allowBlank="1" showInputMessage="1" showErrorMessage="1" sqref="A1:I1">
      <formula1>'Исходник '!H17:H18</formula1>
    </dataValidation>
  </dataValidations>
  <pageMargins left="0.39374999999999999" right="0.19652800000000001" top="0.59027799999999997" bottom="0.39374999999999999" header="0.51180599999999998" footer="0.19652800000000001"/>
  <pageSetup paperSize="9" fitToWidth="0" fitToHeight="3" orientation="landscape"/>
  <headerFooter>
    <oddFooter>&amp;C&amp;A, стр.&amp;P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70"/>
  <sheetViews>
    <sheetView topLeftCell="B52" zoomScale="115" workbookViewId="0">
      <selection activeCell="AF69" sqref="AF69"/>
    </sheetView>
  </sheetViews>
  <sheetFormatPr defaultRowHeight="15.75"/>
  <cols>
    <col min="1" max="10" width="3.28515625" style="6" customWidth="1"/>
    <col min="11" max="11" width="1.5703125" style="6" customWidth="1"/>
    <col min="12" max="12" width="1" style="6" customWidth="1"/>
    <col min="13" max="14" width="3.28515625" style="6" customWidth="1"/>
    <col min="15" max="15" width="2.5703125" style="6" customWidth="1"/>
    <col min="16" max="18" width="3.28515625" style="6" customWidth="1"/>
    <col min="19" max="19" width="3.42578125" style="6" customWidth="1"/>
    <col min="20" max="20" width="2.7109375" style="6" customWidth="1"/>
    <col min="21" max="21" width="3" style="6" customWidth="1"/>
    <col min="22" max="27" width="3.28515625" style="6" customWidth="1"/>
    <col min="28" max="28" width="2" style="6" customWidth="1"/>
    <col min="29" max="29" width="5.5703125" style="6" customWidth="1"/>
    <col min="30" max="31" width="3.28515625" style="6" customWidth="1"/>
    <col min="32" max="16384" width="9.140625" style="6"/>
  </cols>
  <sheetData>
    <row r="1" spans="1:60" s="196" customFormat="1" ht="29.25" customHeight="1">
      <c r="A1" s="595" t="s">
        <v>707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470"/>
      <c r="AC1" s="470"/>
      <c r="AD1" s="470"/>
    </row>
    <row r="2" spans="1:60" s="266" customFormat="1" ht="17.25" customHeight="1">
      <c r="A2" s="596" t="s">
        <v>708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468"/>
      <c r="AC2" s="468"/>
      <c r="AD2" s="468"/>
    </row>
    <row r="3" spans="1:60" ht="15.75" customHeight="1">
      <c r="A3" s="64" t="s">
        <v>709</v>
      </c>
      <c r="C3" s="59" t="str">
        <f ca="1">'Исходник '!B34</f>
        <v>29 января 2020г.</v>
      </c>
      <c r="M3" s="64" t="s">
        <v>491</v>
      </c>
      <c r="N3"/>
      <c r="O3"/>
      <c r="P3" s="553" t="str">
        <f ca="1">'Исходник '!B20</f>
        <v>Фитнес-клуб</v>
      </c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spans="1:60" ht="16.5" customHeight="1">
      <c r="M4" s="64" t="s">
        <v>494</v>
      </c>
      <c r="N4"/>
      <c r="O4"/>
      <c r="P4" s="553">
        <f ca="1">'Исходник '!B21</f>
        <v>0</v>
      </c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</row>
    <row r="5" spans="1:60" s="35" customFormat="1">
      <c r="A5" s="553" t="s">
        <v>710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4"/>
      <c r="AC5" s="554"/>
      <c r="AD5" s="554"/>
    </row>
    <row r="6" spans="1:60" s="35" customFormat="1" ht="13.5" customHeigh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4"/>
      <c r="AC6" s="554"/>
      <c r="AD6" s="554"/>
    </row>
    <row r="7" spans="1:60" s="196" customFormat="1" ht="21.75" customHeight="1">
      <c r="A7" s="597" t="s">
        <v>711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</row>
    <row r="8" spans="1:60" s="59" customFormat="1" ht="31.5" customHeight="1">
      <c r="A8" s="599" t="s">
        <v>452</v>
      </c>
      <c r="B8" s="553" t="s">
        <v>712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</row>
    <row r="9" spans="1:60" s="59" customFormat="1">
      <c r="A9" s="599"/>
      <c r="B9" s="553" t="s">
        <v>713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600" t="str">
        <f ca="1">'Исходник '!D12</f>
        <v>№505-1</v>
      </c>
      <c r="R9" s="600"/>
      <c r="S9" s="600"/>
      <c r="T9" s="600"/>
      <c r="U9" s="31"/>
      <c r="V9" s="31"/>
      <c r="W9" s="31"/>
      <c r="X9" s="31"/>
      <c r="Y9" s="31"/>
      <c r="Z9" s="31"/>
      <c r="AA9" s="31"/>
      <c r="AB9" s="55"/>
      <c r="AC9" s="55"/>
    </row>
    <row r="10" spans="1:60" s="59" customFormat="1" ht="32.25" customHeight="1">
      <c r="A10" s="599" t="s">
        <v>452</v>
      </c>
      <c r="B10" s="553" t="s">
        <v>714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468"/>
      <c r="AC10" s="468"/>
      <c r="AD10" s="468"/>
    </row>
    <row r="11" spans="1:60" s="59" customFormat="1">
      <c r="A11" s="599"/>
      <c r="B11" s="553" t="s">
        <v>715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468"/>
      <c r="AC11" s="468"/>
      <c r="AD11" s="468"/>
    </row>
    <row r="12" spans="1:60" s="59" customFormat="1" ht="15.75" customHeight="1">
      <c r="A12" s="599"/>
      <c r="B12" s="553" t="s">
        <v>716</v>
      </c>
      <c r="C12" s="553"/>
      <c r="D12" s="553"/>
      <c r="E12" s="553"/>
      <c r="F12" s="600" t="str">
        <f ca="1">'Исходник '!D13</f>
        <v>№505-2</v>
      </c>
      <c r="G12" s="600"/>
      <c r="H12" s="60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60" s="59" customFormat="1">
      <c r="A13" s="599" t="s">
        <v>452</v>
      </c>
      <c r="B13" s="553" t="s">
        <v>717</v>
      </c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468"/>
      <c r="AC13" s="468"/>
      <c r="AD13" s="468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s="59" customFormat="1">
      <c r="A14" s="599"/>
      <c r="B14" s="553" t="s">
        <v>718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468"/>
      <c r="AC14" s="468"/>
      <c r="AD14" s="468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s="59" customFormat="1" ht="30.75" customHeight="1">
      <c r="A15" s="599"/>
      <c r="B15" s="553" t="s">
        <v>719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468"/>
      <c r="AC15" s="468"/>
      <c r="AD15" s="468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s="59" customFormat="1" ht="17.25" customHeight="1">
      <c r="A16" s="599"/>
      <c r="B16" s="553" t="s">
        <v>720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468"/>
      <c r="AC16" s="468"/>
      <c r="AD16" s="468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s="59" customFormat="1" ht="18" customHeight="1">
      <c r="A17" s="599"/>
      <c r="B17" s="553" t="s">
        <v>721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600" t="str">
        <f ca="1">'Исходник '!D14</f>
        <v>№505-3</v>
      </c>
      <c r="S17" s="600"/>
      <c r="T17" s="600"/>
      <c r="U17" s="600"/>
      <c r="V17" s="60"/>
      <c r="W17" s="60"/>
      <c r="X17" s="60"/>
      <c r="Y17" s="31"/>
      <c r="Z17" s="31"/>
      <c r="AA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s="59" customFormat="1" ht="31.5" customHeight="1">
      <c r="A18" s="599" t="s">
        <v>452</v>
      </c>
      <c r="B18" s="553" t="s">
        <v>722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468"/>
      <c r="AC18" s="468"/>
      <c r="AD18" s="468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60" s="59" customFormat="1" ht="17.25" customHeight="1">
      <c r="A19" s="599"/>
      <c r="B19" s="553" t="s">
        <v>723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468"/>
      <c r="AC19" s="468"/>
      <c r="AD19" s="468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60" s="59" customFormat="1" ht="18" customHeight="1">
      <c r="A20" s="599"/>
      <c r="B20" s="553" t="s">
        <v>724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468"/>
      <c r="Q20" s="468"/>
      <c r="R20" s="600" t="str">
        <f ca="1">'Исходник '!D15</f>
        <v>№505-4</v>
      </c>
      <c r="S20" s="600"/>
      <c r="T20" s="600"/>
      <c r="U20" s="600"/>
      <c r="V20" s="31"/>
      <c r="W20" s="31"/>
      <c r="X20" s="31"/>
      <c r="Y20" s="31"/>
      <c r="Z20" s="31"/>
      <c r="AA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60" s="59" customFormat="1" ht="16.5" customHeight="1">
      <c r="A21" s="599" t="s">
        <v>452</v>
      </c>
      <c r="B21" s="553" t="s">
        <v>725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468"/>
      <c r="AC21" s="468"/>
      <c r="AD21" s="468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60" s="59" customFormat="1">
      <c r="A22" s="599"/>
      <c r="B22" s="553" t="s">
        <v>726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468"/>
      <c r="AC22" s="468"/>
      <c r="AD22" s="468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60" s="59" customFormat="1" ht="33" customHeight="1">
      <c r="A23" s="599"/>
      <c r="B23" s="553" t="s">
        <v>727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468"/>
      <c r="AC23" s="468"/>
      <c r="AD23" s="468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60" s="59" customFormat="1" ht="16.5" customHeight="1">
      <c r="A24" s="599"/>
      <c r="B24" s="553" t="s">
        <v>728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468"/>
      <c r="AC24" s="468"/>
      <c r="AD24" s="468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60" s="59" customFormat="1" ht="16.5" customHeight="1">
      <c r="B25" s="553" t="s">
        <v>729</v>
      </c>
      <c r="C25" s="553"/>
      <c r="D25" s="553"/>
      <c r="E25" s="553"/>
      <c r="F25" s="600" t="str">
        <f ca="1">'Исходник '!D17</f>
        <v>№505-6</v>
      </c>
      <c r="G25" s="600"/>
      <c r="H25" s="60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60" s="196" customFormat="1" ht="21" customHeight="1">
      <c r="A26" s="597" t="s">
        <v>730</v>
      </c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</row>
    <row r="27" spans="1:60" ht="16.5" customHeight="1">
      <c r="A27" s="601" t="s">
        <v>731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2"/>
      <c r="AB27" s="602"/>
      <c r="AC27" s="602"/>
      <c r="AD27" s="602"/>
    </row>
    <row r="28" spans="1:60" s="196" customFormat="1" ht="17.25" customHeight="1">
      <c r="A28" s="597" t="s">
        <v>732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8"/>
      <c r="AC28" s="598"/>
      <c r="AD28" s="598"/>
    </row>
    <row r="29" spans="1:60" ht="17.25" customHeight="1">
      <c r="A29" s="54" t="s">
        <v>452</v>
      </c>
      <c r="B29" s="603" t="s">
        <v>733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554"/>
      <c r="AC29" s="554"/>
      <c r="AD29" s="554"/>
    </row>
    <row r="30" spans="1:60" s="59" customFormat="1" ht="15.75" customHeight="1">
      <c r="A30" s="599" t="s">
        <v>452</v>
      </c>
      <c r="B30" s="553" t="s">
        <v>734</v>
      </c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</row>
    <row r="31" spans="1:60" s="59" customFormat="1" ht="48" customHeight="1">
      <c r="A31" s="599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</row>
    <row r="32" spans="1:60" s="59" customFormat="1" ht="15.75" customHeight="1">
      <c r="A32" s="54" t="s">
        <v>452</v>
      </c>
      <c r="B32" s="553" t="s">
        <v>735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468"/>
      <c r="AC32" s="468"/>
      <c r="AD32" s="468"/>
    </row>
    <row r="33" spans="1:30" s="59" customFormat="1" ht="17.25" customHeight="1">
      <c r="A33" s="54" t="s">
        <v>452</v>
      </c>
      <c r="B33" s="553" t="s">
        <v>736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468"/>
      <c r="AC33" s="468"/>
      <c r="AD33" s="468"/>
    </row>
    <row r="34" spans="1:30" s="59" customFormat="1" ht="32.25" customHeight="1">
      <c r="A34" s="54" t="s">
        <v>452</v>
      </c>
      <c r="B34" s="553" t="s">
        <v>737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468"/>
      <c r="AC34" s="468"/>
      <c r="AD34" s="468"/>
    </row>
    <row r="35" spans="1:30" s="59" customFormat="1" ht="15.75" customHeight="1">
      <c r="A35" s="54" t="s">
        <v>452</v>
      </c>
      <c r="B35" s="553" t="s">
        <v>738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468"/>
      <c r="AC35" s="468"/>
      <c r="AD35" s="468"/>
    </row>
    <row r="36" spans="1:30" s="59" customFormat="1" ht="31.5" customHeight="1">
      <c r="A36" s="54"/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468"/>
      <c r="AC36" s="468"/>
      <c r="AD36" s="468"/>
    </row>
    <row r="37" spans="1:30" ht="23.25" customHeight="1">
      <c r="A37" s="597" t="s">
        <v>739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8"/>
      <c r="AC37" s="598"/>
      <c r="AD37" s="598"/>
    </row>
    <row r="38" spans="1:30" ht="12.75" customHeight="1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8"/>
      <c r="AC38" s="598"/>
      <c r="AD38" s="598"/>
    </row>
    <row r="39" spans="1:30" s="59" customFormat="1">
      <c r="A39" s="599" t="s">
        <v>452</v>
      </c>
      <c r="B39" s="553" t="s">
        <v>740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468"/>
      <c r="AC39" s="468"/>
      <c r="AD39" s="468"/>
    </row>
    <row r="40" spans="1:30" s="59" customFormat="1">
      <c r="A40" s="599"/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468"/>
      <c r="AC40" s="468"/>
      <c r="AD40" s="468"/>
    </row>
    <row r="41" spans="1:30" s="59" customFormat="1">
      <c r="A41" s="599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468"/>
      <c r="AC41" s="468"/>
      <c r="AD41" s="468"/>
    </row>
    <row r="42" spans="1:30" s="59" customFormat="1">
      <c r="A42" s="599" t="s">
        <v>452</v>
      </c>
      <c r="B42" s="553" t="s">
        <v>741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468"/>
      <c r="AC42" s="468"/>
      <c r="AD42" s="468"/>
    </row>
    <row r="43" spans="1:30" s="59" customFormat="1">
      <c r="A43" s="599"/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468"/>
      <c r="AC43" s="468"/>
      <c r="AD43" s="468"/>
    </row>
    <row r="44" spans="1:30" s="59" customFormat="1">
      <c r="A44" s="599"/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468"/>
      <c r="AC44" s="468"/>
      <c r="AD44" s="468"/>
    </row>
    <row r="45" spans="1:30" s="59" customFormat="1">
      <c r="A45" s="599" t="s">
        <v>452</v>
      </c>
      <c r="B45" s="553" t="s">
        <v>742</v>
      </c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468"/>
      <c r="AC45" s="468"/>
      <c r="AD45" s="468"/>
    </row>
    <row r="46" spans="1:30" s="59" customFormat="1">
      <c r="A46" s="599"/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468"/>
      <c r="AC46" s="468"/>
      <c r="AD46" s="468"/>
    </row>
    <row r="47" spans="1:30" s="59" customFormat="1" ht="141.75" customHeight="1">
      <c r="A47" s="599"/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468"/>
      <c r="AC47" s="468"/>
      <c r="AD47" s="468"/>
    </row>
    <row r="48" spans="1:30" s="59" customFormat="1">
      <c r="A48" s="599" t="s">
        <v>452</v>
      </c>
      <c r="B48" s="553" t="s">
        <v>743</v>
      </c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468"/>
      <c r="AC48" s="468"/>
      <c r="AD48" s="468"/>
    </row>
    <row r="49" spans="1:30" s="59" customFormat="1">
      <c r="A49" s="599"/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468"/>
      <c r="AC49" s="468"/>
      <c r="AD49" s="468"/>
    </row>
    <row r="50" spans="1:30" s="59" customFormat="1">
      <c r="A50" s="599"/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468"/>
      <c r="AC50" s="468"/>
      <c r="AD50" s="468"/>
    </row>
    <row r="51" spans="1:30" s="59" customFormat="1">
      <c r="A51" s="599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468"/>
      <c r="AC51" s="468"/>
      <c r="AD51" s="468"/>
    </row>
    <row r="52" spans="1:30" s="59" customFormat="1">
      <c r="A52" s="599" t="s">
        <v>452</v>
      </c>
      <c r="B52" s="553" t="s">
        <v>744</v>
      </c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468"/>
      <c r="AC52" s="468"/>
      <c r="AD52" s="468"/>
    </row>
    <row r="53" spans="1:30" s="59" customFormat="1">
      <c r="A53" s="599"/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468"/>
      <c r="AC53" s="468"/>
      <c r="AD53" s="468"/>
    </row>
    <row r="54" spans="1:30" s="59" customFormat="1">
      <c r="A54" s="599"/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468"/>
      <c r="AC54" s="468"/>
      <c r="AD54" s="468"/>
    </row>
    <row r="55" spans="1:30" s="59" customFormat="1" ht="31.5" customHeight="1">
      <c r="A55" s="599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468"/>
      <c r="AC55" s="468"/>
      <c r="AD55" s="468"/>
    </row>
    <row r="56" spans="1:30" s="59" customFormat="1">
      <c r="A56" s="599" t="s">
        <v>452</v>
      </c>
      <c r="B56" s="553" t="s">
        <v>745</v>
      </c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468"/>
      <c r="AC56" s="468"/>
      <c r="AD56" s="468"/>
    </row>
    <row r="57" spans="1:30" s="59" customFormat="1">
      <c r="A57" s="599"/>
      <c r="B57" s="553"/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468"/>
      <c r="AC57" s="468"/>
      <c r="AD57" s="468"/>
    </row>
    <row r="58" spans="1:30" s="59" customFormat="1">
      <c r="A58" s="599"/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468"/>
      <c r="AC58" s="468"/>
      <c r="AD58" s="468"/>
    </row>
    <row r="59" spans="1:30" s="59" customFormat="1" ht="31.5" customHeight="1">
      <c r="A59" s="599"/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468"/>
      <c r="AC59" s="468"/>
      <c r="AD59" s="468"/>
    </row>
    <row r="60" spans="1:30" s="59" customFormat="1">
      <c r="A60" s="599" t="s">
        <v>452</v>
      </c>
      <c r="B60" s="553" t="s">
        <v>746</v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468"/>
      <c r="AC60" s="468"/>
      <c r="AD60" s="468"/>
    </row>
    <row r="61" spans="1:30" s="59" customFormat="1">
      <c r="A61" s="599"/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468"/>
      <c r="AC61" s="468"/>
      <c r="AD61" s="468"/>
    </row>
    <row r="62" spans="1:30" s="59" customFormat="1">
      <c r="A62" s="599"/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468"/>
      <c r="AC62" s="468"/>
      <c r="AD62" s="468"/>
    </row>
    <row r="63" spans="1:30" s="59" customFormat="1" ht="15.75" customHeight="1">
      <c r="A63" s="599"/>
      <c r="B63" s="553"/>
      <c r="C63" s="553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468"/>
      <c r="AC63" s="468"/>
      <c r="AD63" s="468"/>
    </row>
    <row r="64" spans="1:30" ht="18.75" customHeight="1">
      <c r="A64" s="596" t="s">
        <v>747</v>
      </c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604"/>
      <c r="AC64" s="604"/>
      <c r="AD64" s="604"/>
    </row>
    <row r="65" spans="1:30" ht="15" customHeight="1">
      <c r="A65" s="596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604"/>
      <c r="AC65" s="604"/>
      <c r="AD65" s="604"/>
    </row>
    <row r="66" spans="1:30" ht="15.75" customHeight="1">
      <c r="A66" s="553" t="str">
        <f ca="1">'Исходник '!H43</f>
        <v>В результате проведения проверки эл. оборудования на соответствие нормативным документам установлено, что электроустановка в объеме, представленном к испытаниям, соответствует требованиям  НТД за исключением пунктов, указанных в ведомости дефектов.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</row>
    <row r="67" spans="1:30">
      <c r="A67" s="468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</row>
    <row r="68" spans="1:30" ht="23.25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</row>
    <row r="69" spans="1:30" s="59" customFormat="1" ht="16.5" customHeight="1">
      <c r="B69" s="295" t="s">
        <v>748</v>
      </c>
      <c r="F69" s="372" t="s">
        <v>749</v>
      </c>
      <c r="G69" s="372"/>
      <c r="H69" s="373"/>
      <c r="I69" s="372"/>
      <c r="J69" s="372"/>
      <c r="K69" s="372"/>
      <c r="L69" s="372"/>
      <c r="M69" s="372"/>
      <c r="N69" s="372"/>
      <c r="P69" s="605"/>
      <c r="Q69" s="605"/>
      <c r="R69" s="605"/>
      <c r="S69" s="605"/>
      <c r="T69" s="605"/>
      <c r="U69" s="605"/>
      <c r="W69" s="59" t="s">
        <v>750</v>
      </c>
    </row>
    <row r="70" spans="1:30" s="59" customFormat="1">
      <c r="F70" s="606" t="s">
        <v>751</v>
      </c>
      <c r="G70" s="606"/>
      <c r="H70" s="606"/>
      <c r="I70" s="606"/>
      <c r="J70" s="606"/>
      <c r="K70" s="606"/>
      <c r="L70" s="606"/>
      <c r="M70" s="606"/>
      <c r="N70" s="606"/>
      <c r="P70" s="607" t="s">
        <v>653</v>
      </c>
      <c r="Q70" s="607"/>
      <c r="R70" s="607"/>
      <c r="S70" s="607"/>
      <c r="T70" s="607"/>
      <c r="U70" s="607"/>
    </row>
  </sheetData>
  <mergeCells count="64">
    <mergeCell ref="A64:AD65"/>
    <mergeCell ref="A66:AD68"/>
    <mergeCell ref="P69:U69"/>
    <mergeCell ref="F70:N70"/>
    <mergeCell ref="P70:U70"/>
    <mergeCell ref="B45:AD47"/>
    <mergeCell ref="A48:A51"/>
    <mergeCell ref="B48:AD51"/>
    <mergeCell ref="A52:A55"/>
    <mergeCell ref="B52:AD55"/>
    <mergeCell ref="A56:A59"/>
    <mergeCell ref="B56:AD59"/>
    <mergeCell ref="B34:AD34"/>
    <mergeCell ref="B35:AD36"/>
    <mergeCell ref="A37:AD38"/>
    <mergeCell ref="A39:A41"/>
    <mergeCell ref="B39:AD41"/>
    <mergeCell ref="A60:A63"/>
    <mergeCell ref="B60:AD63"/>
    <mergeCell ref="A42:A44"/>
    <mergeCell ref="B42:AD44"/>
    <mergeCell ref="A45:A47"/>
    <mergeCell ref="B33:AD33"/>
    <mergeCell ref="B25:E25"/>
    <mergeCell ref="F25:H25"/>
    <mergeCell ref="A26:AD26"/>
    <mergeCell ref="A27:AD27"/>
    <mergeCell ref="A28:AD28"/>
    <mergeCell ref="B29:AD29"/>
    <mergeCell ref="A30:A31"/>
    <mergeCell ref="B30:AD31"/>
    <mergeCell ref="B32:AD32"/>
    <mergeCell ref="B18:AD18"/>
    <mergeCell ref="A18:A20"/>
    <mergeCell ref="B19:AD19"/>
    <mergeCell ref="B20:Q20"/>
    <mergeCell ref="R20:U20"/>
    <mergeCell ref="B21:AD21"/>
    <mergeCell ref="A21:A24"/>
    <mergeCell ref="B22:AD22"/>
    <mergeCell ref="B23:AD23"/>
    <mergeCell ref="B24:AD24"/>
    <mergeCell ref="B13:AD13"/>
    <mergeCell ref="A13:A17"/>
    <mergeCell ref="B14:AD14"/>
    <mergeCell ref="B15:AD15"/>
    <mergeCell ref="B16:AD16"/>
    <mergeCell ref="B17:Q17"/>
    <mergeCell ref="R17:U17"/>
    <mergeCell ref="B8:AD8"/>
    <mergeCell ref="A8:A9"/>
    <mergeCell ref="B9:P9"/>
    <mergeCell ref="Q9:T9"/>
    <mergeCell ref="B10:AD10"/>
    <mergeCell ref="A10:A12"/>
    <mergeCell ref="B11:AD11"/>
    <mergeCell ref="B12:E12"/>
    <mergeCell ref="F12:H12"/>
    <mergeCell ref="A5:AD6"/>
    <mergeCell ref="A1:AD1"/>
    <mergeCell ref="A2:AD2"/>
    <mergeCell ref="P3:AD3"/>
    <mergeCell ref="P4:AD4"/>
    <mergeCell ref="A7:AD7"/>
  </mergeCells>
  <phoneticPr fontId="0" type="noConversion"/>
  <pageMargins left="0.70833299999999999" right="0.309722" top="0.74791700000000005" bottom="0.74791700000000005" header="0.315278" footer="0.315278"/>
  <pageSetup paperSize="9" fitToWidth="0"/>
  <headerFooter>
    <oddFooter>&amp;C&amp;"Times New Roman"&amp;A 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81"/>
  <sheetViews>
    <sheetView topLeftCell="A52" workbookViewId="0">
      <selection activeCell="AK69" sqref="AK69"/>
    </sheetView>
  </sheetViews>
  <sheetFormatPr defaultRowHeight="12.75"/>
  <cols>
    <col min="1" max="7" width="3.28515625" customWidth="1"/>
    <col min="8" max="8" width="1.28515625" customWidth="1"/>
    <col min="9" max="9" width="2.140625" customWidth="1"/>
    <col min="10" max="10" width="1.140625" customWidth="1"/>
    <col min="11" max="11" width="2" customWidth="1"/>
    <col min="12" max="12" width="3.28515625" customWidth="1"/>
    <col min="13" max="13" width="6.5703125" customWidth="1"/>
    <col min="14" max="14" width="2.42578125" customWidth="1"/>
    <col min="15" max="15" width="2.140625" customWidth="1"/>
    <col min="16" max="16" width="5.5703125" customWidth="1"/>
    <col min="17" max="17" width="5" customWidth="1"/>
    <col min="18" max="18" width="4" customWidth="1"/>
    <col min="19" max="22" width="3.28515625" customWidth="1"/>
    <col min="23" max="23" width="5.5703125" customWidth="1"/>
    <col min="24" max="29" width="3.28515625" customWidth="1"/>
    <col min="30" max="30" width="2.7109375" customWidth="1"/>
    <col min="31" max="34" width="3.28515625" customWidth="1"/>
  </cols>
  <sheetData>
    <row r="1" spans="1:37" s="55" customFormat="1" ht="17.25" customHeight="1">
      <c r="A1" s="64"/>
      <c r="B1" s="9" t="str">
        <f ca="1">'Исходник '!B3</f>
        <v>ООО «ТМ-Электро»</v>
      </c>
      <c r="C1" s="15"/>
      <c r="D1"/>
      <c r="E1"/>
      <c r="F1"/>
      <c r="G1"/>
      <c r="H1"/>
      <c r="I1"/>
      <c r="O1" s="9" t="s">
        <v>489</v>
      </c>
      <c r="R1" s="2">
        <f ca="1">'Исходник '!B19</f>
        <v>0</v>
      </c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7" s="55" customFormat="1" ht="18" customHeight="1">
      <c r="A2" s="64"/>
      <c r="B2" s="504" t="s">
        <v>632</v>
      </c>
      <c r="C2" s="516"/>
      <c r="D2" s="516"/>
      <c r="E2" s="516"/>
      <c r="F2" s="516"/>
      <c r="G2" s="516"/>
      <c r="H2" s="516"/>
      <c r="I2" s="516"/>
      <c r="J2" s="316"/>
      <c r="K2" s="316"/>
      <c r="L2" s="316"/>
      <c r="M2" s="68"/>
      <c r="N2" s="68"/>
      <c r="O2" s="9" t="s">
        <v>491</v>
      </c>
      <c r="Q2" s="68"/>
      <c r="R2" s="2" t="str">
        <f ca="1">'Исходник '!B20</f>
        <v>Фитнес-клуб</v>
      </c>
      <c r="S2"/>
      <c r="T2"/>
      <c r="U2"/>
      <c r="V2"/>
      <c r="W2"/>
      <c r="X2"/>
      <c r="Y2"/>
      <c r="Z2"/>
      <c r="AA2"/>
      <c r="AB2"/>
      <c r="AC2"/>
      <c r="AD2"/>
    </row>
    <row r="3" spans="1:37" s="62" customFormat="1" ht="18.75" customHeight="1">
      <c r="A3" s="324"/>
      <c r="B3" s="2" t="str">
        <f ca="1">CONCATENATE('Исходник '!A5," ",'Исходник '!B5)</f>
        <v>Свидетельство о регистрации № 6231-2</v>
      </c>
      <c r="C3"/>
      <c r="D3"/>
      <c r="E3"/>
      <c r="F3"/>
      <c r="G3"/>
      <c r="H3"/>
      <c r="I3"/>
      <c r="J3"/>
      <c r="K3"/>
      <c r="L3"/>
      <c r="M3"/>
      <c r="N3" s="374"/>
      <c r="O3" s="9" t="s">
        <v>494</v>
      </c>
      <c r="P3" s="138"/>
      <c r="Q3" s="2">
        <f ca="1">'Исходник '!B21</f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I3" s="375"/>
    </row>
    <row r="4" spans="1:37" s="55" customFormat="1" ht="18" customHeight="1">
      <c r="A4" s="64"/>
      <c r="B4" s="2" t="str">
        <f ca="1">CONCATENATE('Исходник '!A7," ",'Исходник '!B7)</f>
        <v xml:space="preserve">Действительно до «11» января 2022 г. 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9" t="s">
        <v>633</v>
      </c>
      <c r="X4" s="2" t="str">
        <f ca="1">'Исходник '!B34</f>
        <v>29 января 2020г.</v>
      </c>
      <c r="Y4"/>
      <c r="Z4"/>
      <c r="AA4"/>
      <c r="AB4"/>
      <c r="AC4"/>
      <c r="AD4"/>
    </row>
    <row r="5" spans="1:37" s="55" customFormat="1" ht="17.25" customHeight="1">
      <c r="A5" s="517" t="str">
        <f ca="1">CONCATENATE('Исходник '!A16," ",'Исходник '!D12,)</f>
        <v>Протокол  №505-1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</row>
    <row r="6" spans="1:37" s="55" customFormat="1" ht="14.25" customHeight="1">
      <c r="A6" s="609" t="s">
        <v>752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</row>
    <row r="7" spans="1:37" s="55" customFormat="1" ht="15.75" customHeight="1">
      <c r="A7" s="610" t="s">
        <v>753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</row>
    <row r="8" spans="1:37" s="55" customFormat="1" ht="18" customHeight="1">
      <c r="A8" s="608" t="s">
        <v>754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</row>
    <row r="9" spans="1:37" s="134" customFormat="1" ht="12.75" customHeight="1">
      <c r="A9" s="611" t="s">
        <v>755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 t="s">
        <v>756</v>
      </c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2" t="s">
        <v>757</v>
      </c>
      <c r="AA9" s="613"/>
      <c r="AB9" s="613"/>
      <c r="AC9" s="613"/>
      <c r="AD9" s="614"/>
      <c r="AK9" s="63"/>
    </row>
    <row r="10" spans="1:37" s="134" customFormat="1" ht="12.75" customHeight="1">
      <c r="A10" s="611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5"/>
      <c r="AA10" s="555"/>
      <c r="AB10" s="555"/>
      <c r="AC10" s="555"/>
      <c r="AD10" s="616"/>
    </row>
    <row r="11" spans="1:37" s="134" customFormat="1" ht="12.75" customHeight="1">
      <c r="A11" s="611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5"/>
      <c r="AA11" s="555"/>
      <c r="AB11" s="555"/>
      <c r="AC11" s="555"/>
      <c r="AD11" s="616"/>
    </row>
    <row r="12" spans="1:37" s="134" customFormat="1" ht="9.75" customHeight="1">
      <c r="A12" s="611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7"/>
      <c r="AA12" s="618"/>
      <c r="AB12" s="618"/>
      <c r="AC12" s="618"/>
      <c r="AD12" s="619"/>
    </row>
    <row r="13" spans="1:37" s="188" customFormat="1" ht="15.75" customHeight="1">
      <c r="A13" s="529">
        <v>1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>
        <v>2</v>
      </c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>
        <v>3</v>
      </c>
      <c r="AA13" s="529"/>
      <c r="AB13" s="529"/>
      <c r="AC13" s="529"/>
      <c r="AD13" s="529"/>
    </row>
    <row r="14" spans="1:37" ht="12" customHeight="1">
      <c r="A14" s="620" t="s">
        <v>758</v>
      </c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 t="s">
        <v>759</v>
      </c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12" t="s">
        <v>760</v>
      </c>
      <c r="AA14" s="613"/>
      <c r="AB14" s="613"/>
      <c r="AC14" s="613"/>
      <c r="AD14" s="614"/>
    </row>
    <row r="15" spans="1:37" ht="12.75" hidden="1" customHeight="1">
      <c r="A15" s="620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15"/>
      <c r="AA15" s="555"/>
      <c r="AB15" s="555"/>
      <c r="AC15" s="555"/>
      <c r="AD15" s="616"/>
    </row>
    <row r="16" spans="1:37" ht="4.5" customHeight="1">
      <c r="A16" s="620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15"/>
      <c r="AA16" s="555"/>
      <c r="AB16" s="555"/>
      <c r="AC16" s="555"/>
      <c r="AD16" s="616"/>
    </row>
    <row r="17" spans="1:30" ht="18" customHeight="1">
      <c r="A17" s="620"/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17"/>
      <c r="AA17" s="618"/>
      <c r="AB17" s="618"/>
      <c r="AC17" s="618"/>
      <c r="AD17" s="619"/>
    </row>
    <row r="18" spans="1:30" ht="12.75" customHeight="1">
      <c r="A18" s="621" t="s">
        <v>761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 t="s">
        <v>762</v>
      </c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12" t="s">
        <v>763</v>
      </c>
      <c r="AA18" s="613"/>
      <c r="AB18" s="613"/>
      <c r="AC18" s="613"/>
      <c r="AD18" s="614"/>
    </row>
    <row r="19" spans="1:30" ht="12.75" customHeight="1">
      <c r="A19" s="621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15"/>
      <c r="AA19" s="555"/>
      <c r="AB19" s="555"/>
      <c r="AC19" s="555"/>
      <c r="AD19" s="616"/>
    </row>
    <row r="20" spans="1:30" ht="12.75" customHeight="1">
      <c r="A20" s="621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15"/>
      <c r="AA20" s="555"/>
      <c r="AB20" s="555"/>
      <c r="AC20" s="555"/>
      <c r="AD20" s="616"/>
    </row>
    <row r="21" spans="1:30" ht="12.75" customHeight="1">
      <c r="A21" s="621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15"/>
      <c r="AA21" s="555"/>
      <c r="AB21" s="555"/>
      <c r="AC21" s="555"/>
      <c r="AD21" s="616"/>
    </row>
    <row r="22" spans="1:30" ht="12.75" customHeight="1">
      <c r="A22" s="621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15"/>
      <c r="AA22" s="555"/>
      <c r="AB22" s="555"/>
      <c r="AC22" s="555"/>
      <c r="AD22" s="616"/>
    </row>
    <row r="23" spans="1:30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15"/>
      <c r="AA23" s="555"/>
      <c r="AB23" s="555"/>
      <c r="AC23" s="555"/>
      <c r="AD23" s="616"/>
    </row>
    <row r="24" spans="1:30" ht="12.7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15"/>
      <c r="AA24" s="555"/>
      <c r="AB24" s="555"/>
      <c r="AC24" s="555"/>
      <c r="AD24" s="616"/>
    </row>
    <row r="25" spans="1:30" ht="167.25" customHeight="1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17"/>
      <c r="AA25" s="618"/>
      <c r="AB25" s="618"/>
      <c r="AC25" s="618"/>
      <c r="AD25" s="619"/>
    </row>
    <row r="26" spans="1:30" ht="11.25" customHeight="1">
      <c r="A26" s="621" t="s">
        <v>764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 t="s">
        <v>765</v>
      </c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11" t="s">
        <v>589</v>
      </c>
      <c r="AA26" s="611"/>
      <c r="AB26" s="611"/>
      <c r="AC26" s="611"/>
      <c r="AD26" s="611"/>
    </row>
    <row r="27" spans="1:30" ht="15.75" customHeight="1">
      <c r="A27" s="621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11"/>
      <c r="AA27" s="611"/>
      <c r="AB27" s="611"/>
      <c r="AC27" s="611"/>
      <c r="AD27" s="611"/>
    </row>
    <row r="28" spans="1:30" ht="6" customHeight="1">
      <c r="A28" s="621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11"/>
      <c r="AA28" s="611"/>
      <c r="AB28" s="611"/>
      <c r="AC28" s="611"/>
      <c r="AD28" s="611"/>
    </row>
    <row r="29" spans="1:30" ht="15.75" customHeight="1">
      <c r="A29" s="621" t="s">
        <v>766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 t="s">
        <v>767</v>
      </c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11" t="s">
        <v>760</v>
      </c>
      <c r="AA29" s="611"/>
      <c r="AB29" s="611"/>
      <c r="AC29" s="611"/>
      <c r="AD29" s="611"/>
    </row>
    <row r="30" spans="1:30" ht="6.75" customHeight="1">
      <c r="A30" s="621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11"/>
      <c r="AA30" s="611"/>
      <c r="AB30" s="611"/>
      <c r="AC30" s="611"/>
      <c r="AD30" s="611"/>
    </row>
    <row r="31" spans="1:30" ht="9.75" customHeight="1">
      <c r="A31" s="621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11"/>
      <c r="AA31" s="611"/>
      <c r="AB31" s="611"/>
      <c r="AC31" s="611"/>
      <c r="AD31" s="611"/>
    </row>
    <row r="32" spans="1:30" ht="37.5" customHeight="1">
      <c r="A32" s="621" t="s">
        <v>768</v>
      </c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 t="s">
        <v>769</v>
      </c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2" t="s">
        <v>760</v>
      </c>
      <c r="AA32" s="623"/>
      <c r="AB32" s="623"/>
      <c r="AC32" s="623"/>
      <c r="AD32" s="624"/>
    </row>
    <row r="33" spans="1:30" ht="21.75" hidden="1" customHeight="1">
      <c r="A33" s="621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166"/>
      <c r="AA33" s="166"/>
      <c r="AB33" s="166"/>
      <c r="AC33" s="166"/>
      <c r="AD33" s="166"/>
    </row>
    <row r="34" spans="1:30" ht="15.75" customHeight="1">
      <c r="A34" s="621" t="s">
        <v>770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 t="s">
        <v>771</v>
      </c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12" t="s">
        <v>760</v>
      </c>
      <c r="AA34" s="625"/>
      <c r="AB34" s="625"/>
      <c r="AC34" s="625"/>
      <c r="AD34" s="486"/>
    </row>
    <row r="35" spans="1:30" ht="15.75" customHeight="1">
      <c r="A35" s="621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6"/>
      <c r="AA35" s="556"/>
      <c r="AB35" s="556"/>
      <c r="AC35" s="556"/>
      <c r="AD35" s="627"/>
    </row>
    <row r="36" spans="1:30" ht="6" customHeight="1">
      <c r="A36" s="621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6"/>
      <c r="AA36" s="556"/>
      <c r="AB36" s="556"/>
      <c r="AC36" s="556"/>
      <c r="AD36" s="627"/>
    </row>
    <row r="37" spans="1:30" ht="14.25" customHeight="1">
      <c r="A37" s="621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481"/>
      <c r="AA37" s="628"/>
      <c r="AB37" s="628"/>
      <c r="AC37" s="628"/>
      <c r="AD37" s="482"/>
    </row>
    <row r="38" spans="1:30" ht="7.5" customHeight="1">
      <c r="A38" s="629" t="s">
        <v>772</v>
      </c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1" t="s">
        <v>773</v>
      </c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548" t="s">
        <v>760</v>
      </c>
      <c r="AA38" s="548"/>
      <c r="AB38" s="548"/>
      <c r="AC38" s="548"/>
      <c r="AD38" s="548"/>
    </row>
    <row r="39" spans="1:30" ht="15.75" customHeight="1">
      <c r="A39" s="629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548"/>
      <c r="AA39" s="548"/>
      <c r="AB39" s="548"/>
      <c r="AC39" s="548"/>
      <c r="AD39" s="548"/>
    </row>
    <row r="40" spans="1:30" ht="20.25" customHeight="1">
      <c r="A40" s="629"/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548"/>
      <c r="AA40" s="548"/>
      <c r="AB40" s="548"/>
      <c r="AC40" s="548"/>
      <c r="AD40" s="548"/>
    </row>
    <row r="41" spans="1:30" ht="117.75" customHeight="1">
      <c r="A41" s="621" t="s">
        <v>774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 t="s">
        <v>775</v>
      </c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11" t="s">
        <v>763</v>
      </c>
      <c r="AA41" s="611"/>
      <c r="AB41" s="611"/>
      <c r="AC41" s="611"/>
      <c r="AD41" s="611"/>
    </row>
    <row r="42" spans="1:30" ht="15.75" customHeight="1">
      <c r="A42" s="621" t="s">
        <v>776</v>
      </c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 t="s">
        <v>777</v>
      </c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11" t="s">
        <v>763</v>
      </c>
      <c r="AA42" s="611"/>
      <c r="AB42" s="611"/>
      <c r="AC42" s="611"/>
      <c r="AD42" s="611"/>
    </row>
    <row r="43" spans="1:30" ht="15.75" customHeight="1">
      <c r="A43" s="621"/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11"/>
      <c r="AA43" s="611"/>
      <c r="AB43" s="611"/>
      <c r="AC43" s="611"/>
      <c r="AD43" s="611"/>
    </row>
    <row r="44" spans="1:30" ht="15.75" customHeight="1">
      <c r="A44" s="621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11"/>
      <c r="AA44" s="611"/>
      <c r="AB44" s="611"/>
      <c r="AC44" s="611"/>
      <c r="AD44" s="611"/>
    </row>
    <row r="45" spans="1:30" ht="15.75" customHeight="1">
      <c r="A45" s="621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11"/>
      <c r="AA45" s="611"/>
      <c r="AB45" s="611"/>
      <c r="AC45" s="611"/>
      <c r="AD45" s="611"/>
    </row>
    <row r="46" spans="1:30" ht="7.5" customHeight="1">
      <c r="A46" s="621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11"/>
      <c r="AA46" s="611"/>
      <c r="AB46" s="611"/>
      <c r="AC46" s="611"/>
      <c r="AD46" s="611"/>
    </row>
    <row r="47" spans="1:30" ht="45.75" customHeight="1">
      <c r="A47" s="621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11"/>
      <c r="AA47" s="611"/>
      <c r="AB47" s="611"/>
      <c r="AC47" s="611"/>
      <c r="AD47" s="611"/>
    </row>
    <row r="48" spans="1:30" ht="15.75" customHeight="1">
      <c r="A48" s="621" t="s">
        <v>778</v>
      </c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 t="s">
        <v>779</v>
      </c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11" t="s">
        <v>760</v>
      </c>
      <c r="AA48" s="611"/>
      <c r="AB48" s="611"/>
      <c r="AC48" s="611"/>
      <c r="AD48" s="611"/>
    </row>
    <row r="49" spans="1:30" ht="17.25" customHeight="1">
      <c r="A49" s="621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11"/>
      <c r="AA49" s="611"/>
      <c r="AB49" s="611"/>
      <c r="AC49" s="611"/>
      <c r="AD49" s="611"/>
    </row>
    <row r="50" spans="1:30" ht="15.75" customHeight="1">
      <c r="A50" s="621" t="s">
        <v>780</v>
      </c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 t="s">
        <v>781</v>
      </c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11" t="s">
        <v>782</v>
      </c>
      <c r="AA50" s="611"/>
      <c r="AB50" s="611"/>
      <c r="AC50" s="611"/>
      <c r="AD50" s="611"/>
    </row>
    <row r="51" spans="1:30" ht="15.75" customHeight="1">
      <c r="A51" s="621"/>
      <c r="B51" s="621"/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11"/>
      <c r="AA51" s="611"/>
      <c r="AB51" s="611"/>
      <c r="AC51" s="611"/>
      <c r="AD51" s="611"/>
    </row>
    <row r="52" spans="1:30" ht="85.5" customHeight="1">
      <c r="A52" s="621"/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11"/>
      <c r="AA52" s="611"/>
      <c r="AB52" s="611"/>
      <c r="AC52" s="611"/>
      <c r="AD52" s="611"/>
    </row>
    <row r="53" spans="1:30" ht="15.75" customHeight="1">
      <c r="A53" s="621" t="s">
        <v>783</v>
      </c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 t="s">
        <v>784</v>
      </c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11" t="s">
        <v>763</v>
      </c>
      <c r="AA53" s="611"/>
      <c r="AB53" s="611"/>
      <c r="AC53" s="611"/>
      <c r="AD53" s="611"/>
    </row>
    <row r="54" spans="1:30" ht="15.75" customHeight="1">
      <c r="A54" s="621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11"/>
      <c r="AA54" s="611"/>
      <c r="AB54" s="611"/>
      <c r="AC54" s="611"/>
      <c r="AD54" s="611"/>
    </row>
    <row r="55" spans="1:30" ht="15.75" customHeight="1">
      <c r="A55" s="621"/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11"/>
      <c r="AA55" s="611"/>
      <c r="AB55" s="611"/>
      <c r="AC55" s="611"/>
      <c r="AD55" s="611"/>
    </row>
    <row r="56" spans="1:30" ht="15.75" customHeight="1">
      <c r="A56" s="621"/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11"/>
      <c r="AA56" s="611"/>
      <c r="AB56" s="611"/>
      <c r="AC56" s="611"/>
      <c r="AD56" s="611"/>
    </row>
    <row r="57" spans="1:30" ht="12.75" customHeight="1">
      <c r="A57" s="621"/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11"/>
      <c r="AA57" s="611"/>
      <c r="AB57" s="611"/>
      <c r="AC57" s="611"/>
      <c r="AD57" s="611"/>
    </row>
    <row r="58" spans="1:30" ht="39.75" customHeight="1">
      <c r="A58" s="621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11"/>
      <c r="AA58" s="611"/>
      <c r="AB58" s="611"/>
      <c r="AC58" s="611"/>
      <c r="AD58" s="611"/>
    </row>
    <row r="59" spans="1:30" ht="15.75" hidden="1" customHeight="1">
      <c r="A59" s="621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11"/>
      <c r="AA59" s="611"/>
      <c r="AB59" s="611"/>
      <c r="AC59" s="611"/>
      <c r="AD59" s="611"/>
    </row>
    <row r="60" spans="1:30" ht="15.75" hidden="1" customHeight="1">
      <c r="A60" s="621"/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11"/>
      <c r="AA60" s="611"/>
      <c r="AB60" s="611"/>
      <c r="AC60" s="611"/>
      <c r="AD60" s="611"/>
    </row>
    <row r="61" spans="1:30" ht="11.25" customHeight="1">
      <c r="A61" s="621" t="s">
        <v>785</v>
      </c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 t="s">
        <v>786</v>
      </c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11" t="s">
        <v>589</v>
      </c>
      <c r="AA61" s="611"/>
      <c r="AB61" s="611"/>
      <c r="AC61" s="611"/>
      <c r="AD61" s="611"/>
    </row>
    <row r="62" spans="1:30" ht="9" customHeight="1">
      <c r="A62" s="621"/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11"/>
      <c r="AA62" s="611"/>
      <c r="AB62" s="611"/>
      <c r="AC62" s="611"/>
      <c r="AD62" s="611"/>
    </row>
    <row r="63" spans="1:30" ht="15.75" customHeight="1">
      <c r="A63" s="621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11"/>
      <c r="AA63" s="611"/>
      <c r="AB63" s="611"/>
      <c r="AC63" s="611"/>
      <c r="AD63" s="611"/>
    </row>
    <row r="64" spans="1:30" ht="9.75" customHeight="1">
      <c r="A64" s="621"/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11"/>
      <c r="AA64" s="611"/>
      <c r="AB64" s="611"/>
      <c r="AC64" s="611"/>
      <c r="AD64" s="611"/>
    </row>
    <row r="65" spans="1:35" ht="6" customHeight="1">
      <c r="A65" s="621"/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11"/>
      <c r="AA65" s="611"/>
      <c r="AB65" s="611"/>
      <c r="AC65" s="611"/>
      <c r="AD65" s="611"/>
    </row>
    <row r="66" spans="1:35" ht="15.75" customHeight="1">
      <c r="A66" s="621" t="s">
        <v>787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 t="s">
        <v>788</v>
      </c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11" t="s">
        <v>782</v>
      </c>
      <c r="AA66" s="611"/>
      <c r="AB66" s="611"/>
      <c r="AC66" s="611"/>
      <c r="AD66" s="611"/>
    </row>
    <row r="67" spans="1:35" ht="15.75" customHeight="1">
      <c r="A67" s="621"/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1"/>
      <c r="S67" s="621"/>
      <c r="T67" s="621"/>
      <c r="U67" s="621"/>
      <c r="V67" s="621"/>
      <c r="W67" s="621"/>
      <c r="X67" s="621"/>
      <c r="Y67" s="621"/>
      <c r="Z67" s="611"/>
      <c r="AA67" s="611"/>
      <c r="AB67" s="611"/>
      <c r="AC67" s="611"/>
      <c r="AD67" s="611"/>
    </row>
    <row r="68" spans="1:35" ht="15.75" customHeight="1">
      <c r="A68" s="621"/>
      <c r="B68" s="621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1"/>
      <c r="X68" s="621"/>
      <c r="Y68" s="621"/>
      <c r="Z68" s="611"/>
      <c r="AA68" s="611"/>
      <c r="AB68" s="611"/>
      <c r="AC68" s="611"/>
      <c r="AD68" s="611"/>
    </row>
    <row r="69" spans="1:35" ht="15.75" customHeight="1">
      <c r="A69" s="621"/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11"/>
      <c r="AA69" s="611"/>
      <c r="AB69" s="611"/>
      <c r="AC69" s="611"/>
      <c r="AD69" s="611"/>
    </row>
    <row r="70" spans="1:35" ht="15.75" customHeight="1">
      <c r="A70" s="621"/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11"/>
      <c r="AA70" s="611"/>
      <c r="AB70" s="611"/>
      <c r="AC70" s="611"/>
      <c r="AD70" s="611"/>
    </row>
    <row r="71" spans="1:35" ht="33.75" customHeight="1">
      <c r="A71" s="621"/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11"/>
      <c r="AA71" s="611"/>
      <c r="AB71" s="611"/>
      <c r="AC71" s="611"/>
      <c r="AD71" s="611"/>
    </row>
    <row r="72" spans="1:35" s="55" customFormat="1" ht="81" customHeight="1">
      <c r="A72" s="64" t="s">
        <v>789</v>
      </c>
      <c r="F72" s="630" t="str">
        <f ca="1">'Исходник '!H46</f>
        <v>В результате анализа исполнительной документации и существующей схемы эл. установки, проверки соответствия электроустановки нормативной и проектной документации установлено, что электроустановка в объеме, представленном к испытаниям, соответствует требованиям  НТД за исключением пунктов, указанных в ведомости дефектов.</v>
      </c>
      <c r="G72" s="630"/>
      <c r="H72" s="630"/>
      <c r="I72" s="630"/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630"/>
      <c r="U72" s="630"/>
      <c r="V72" s="630"/>
      <c r="W72" s="630"/>
      <c r="X72" s="630"/>
      <c r="Y72" s="630"/>
      <c r="Z72" s="630"/>
      <c r="AA72" s="630"/>
      <c r="AB72" s="630"/>
      <c r="AC72" s="630"/>
      <c r="AD72" s="630"/>
    </row>
    <row r="73" spans="1:35" ht="29.25" customHeight="1">
      <c r="A73" s="631" t="s">
        <v>790</v>
      </c>
      <c r="B73" s="631"/>
      <c r="C73" s="631"/>
      <c r="D73" s="631"/>
      <c r="E73" s="631"/>
      <c r="F73" s="631"/>
      <c r="G73" s="632" t="s">
        <v>749</v>
      </c>
      <c r="H73" s="632"/>
      <c r="I73" s="632"/>
      <c r="J73" s="632"/>
      <c r="K73" s="632"/>
      <c r="L73" s="632"/>
      <c r="M73" s="632"/>
      <c r="O73" s="632"/>
      <c r="P73" s="632"/>
      <c r="Q73" s="632"/>
      <c r="R73" s="632"/>
      <c r="S73" s="632"/>
      <c r="T73" s="632"/>
      <c r="V73" s="632" t="str">
        <f ca="1">'Исходник '!B12</f>
        <v>Евдокимов А.О.</v>
      </c>
      <c r="W73" s="632"/>
      <c r="X73" s="632"/>
      <c r="Y73" s="632"/>
      <c r="Z73" s="632"/>
      <c r="AA73" s="632"/>
      <c r="AB73" s="632"/>
      <c r="AC73" s="632"/>
      <c r="AD73" s="632"/>
      <c r="AI73" s="58"/>
    </row>
    <row r="74" spans="1:35" s="55" customFormat="1" ht="12" customHeight="1">
      <c r="A74" s="23"/>
      <c r="G74" s="633" t="s">
        <v>751</v>
      </c>
      <c r="H74" s="633"/>
      <c r="I74" s="633"/>
      <c r="J74" s="633"/>
      <c r="K74" s="633"/>
      <c r="L74" s="633"/>
      <c r="M74" s="633"/>
      <c r="O74" s="633" t="s">
        <v>653</v>
      </c>
      <c r="P74" s="633"/>
      <c r="Q74" s="633"/>
      <c r="R74" s="633"/>
      <c r="S74" s="633"/>
      <c r="T74" s="633"/>
      <c r="V74" s="633" t="s">
        <v>791</v>
      </c>
      <c r="W74" s="633"/>
      <c r="X74" s="633"/>
      <c r="Y74" s="633"/>
      <c r="Z74" s="633"/>
      <c r="AA74" s="633"/>
      <c r="AB74" s="633"/>
      <c r="AC74" s="633"/>
      <c r="AD74" s="633"/>
      <c r="AI74" s="57"/>
    </row>
    <row r="75" spans="1:35" ht="23.25" customHeight="1">
      <c r="A75" s="24"/>
      <c r="G75" s="632" t="s">
        <v>792</v>
      </c>
      <c r="H75" s="632"/>
      <c r="I75" s="632"/>
      <c r="J75" s="632"/>
      <c r="K75" s="632"/>
      <c r="L75" s="632"/>
      <c r="M75" s="632"/>
      <c r="O75" s="632"/>
      <c r="P75" s="632"/>
      <c r="Q75" s="632"/>
      <c r="R75" s="632"/>
      <c r="S75" s="632"/>
      <c r="T75" s="632"/>
      <c r="V75" s="632" t="str">
        <f ca="1">'Исходник '!B13</f>
        <v>Кокшаров С.В.</v>
      </c>
      <c r="W75" s="632"/>
      <c r="X75" s="632"/>
      <c r="Y75" s="632"/>
      <c r="Z75" s="632"/>
      <c r="AA75" s="632"/>
      <c r="AB75" s="632"/>
      <c r="AC75" s="632"/>
      <c r="AD75" s="632"/>
      <c r="AI75" s="58"/>
    </row>
    <row r="76" spans="1:35" s="55" customFormat="1">
      <c r="A76" s="23"/>
      <c r="G76" s="633" t="s">
        <v>751</v>
      </c>
      <c r="H76" s="633"/>
      <c r="I76" s="633"/>
      <c r="J76" s="633"/>
      <c r="K76" s="633"/>
      <c r="L76" s="633"/>
      <c r="M76" s="633"/>
      <c r="O76" s="633" t="s">
        <v>653</v>
      </c>
      <c r="P76" s="633"/>
      <c r="Q76" s="633"/>
      <c r="R76" s="633"/>
      <c r="S76" s="633"/>
      <c r="T76" s="633"/>
      <c r="V76" s="633" t="s">
        <v>791</v>
      </c>
      <c r="W76" s="633"/>
      <c r="X76" s="633"/>
      <c r="Y76" s="633"/>
      <c r="Z76" s="633"/>
      <c r="AA76" s="633"/>
      <c r="AB76" s="633"/>
      <c r="AC76" s="633"/>
      <c r="AD76" s="633"/>
      <c r="AI76" s="57"/>
    </row>
    <row r="77" spans="1:35" ht="24.75" customHeight="1">
      <c r="A77" s="631" t="s">
        <v>793</v>
      </c>
      <c r="B77" s="631"/>
      <c r="C77" s="631"/>
      <c r="D77" s="631"/>
      <c r="E77" s="631"/>
      <c r="F77" s="631"/>
      <c r="G77" s="632" t="s">
        <v>749</v>
      </c>
      <c r="H77" s="632"/>
      <c r="I77" s="632"/>
      <c r="J77" s="632"/>
      <c r="K77" s="632"/>
      <c r="L77" s="632"/>
      <c r="M77" s="632"/>
      <c r="O77" s="632"/>
      <c r="P77" s="632"/>
      <c r="Q77" s="632"/>
      <c r="R77" s="632"/>
      <c r="S77" s="632"/>
      <c r="T77" s="632"/>
      <c r="V77" s="632" t="str">
        <f ca="1">'Исходник '!B12</f>
        <v>Евдокимов А.О.</v>
      </c>
      <c r="W77" s="632"/>
      <c r="X77" s="632"/>
      <c r="Y77" s="632"/>
      <c r="Z77" s="632"/>
      <c r="AA77" s="632"/>
      <c r="AB77" s="632"/>
      <c r="AC77" s="632"/>
      <c r="AD77" s="632"/>
      <c r="AI77" s="58"/>
    </row>
    <row r="78" spans="1:35" ht="22.5" customHeight="1">
      <c r="A78" s="23"/>
      <c r="G78" s="633" t="s">
        <v>751</v>
      </c>
      <c r="H78" s="633"/>
      <c r="I78" s="633"/>
      <c r="J78" s="633"/>
      <c r="K78" s="633"/>
      <c r="L78" s="633"/>
      <c r="M78" s="633"/>
      <c r="O78" s="633" t="s">
        <v>653</v>
      </c>
      <c r="P78" s="633"/>
      <c r="Q78" s="633"/>
      <c r="R78" s="633"/>
      <c r="S78" s="633"/>
      <c r="T78" s="633"/>
      <c r="V78" s="633" t="s">
        <v>791</v>
      </c>
      <c r="W78" s="633"/>
      <c r="X78" s="633"/>
      <c r="Y78" s="633"/>
      <c r="Z78" s="633"/>
      <c r="AA78" s="633"/>
      <c r="AB78" s="633"/>
      <c r="AC78" s="633"/>
      <c r="AD78" s="633"/>
      <c r="AI78" s="57"/>
    </row>
    <row r="79" spans="1:35" s="376" customFormat="1" ht="12" customHeight="1">
      <c r="A79" s="634" t="s">
        <v>794</v>
      </c>
      <c r="B79" s="634"/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</row>
    <row r="80" spans="1:35" s="376" customFormat="1" ht="12.75" customHeight="1">
      <c r="A80" s="634" t="s">
        <v>795</v>
      </c>
      <c r="B80" s="634"/>
      <c r="C80" s="634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</row>
    <row r="81" spans="1:1" ht="15.75">
      <c r="A81" s="5"/>
    </row>
  </sheetData>
  <mergeCells count="76">
    <mergeCell ref="V78:AD78"/>
    <mergeCell ref="A79:AD79"/>
    <mergeCell ref="A80:AD80"/>
    <mergeCell ref="G76:M76"/>
    <mergeCell ref="O76:T76"/>
    <mergeCell ref="V76:AD76"/>
    <mergeCell ref="A77:F77"/>
    <mergeCell ref="G77:M77"/>
    <mergeCell ref="O77:T77"/>
    <mergeCell ref="V77:AD77"/>
    <mergeCell ref="G78:M78"/>
    <mergeCell ref="O78:T78"/>
    <mergeCell ref="G74:M74"/>
    <mergeCell ref="O74:T74"/>
    <mergeCell ref="V74:AD74"/>
    <mergeCell ref="G75:M75"/>
    <mergeCell ref="O75:T75"/>
    <mergeCell ref="V75:AD75"/>
    <mergeCell ref="A66:M71"/>
    <mergeCell ref="N66:Y71"/>
    <mergeCell ref="Z66:AD71"/>
    <mergeCell ref="F72:AD72"/>
    <mergeCell ref="A73:F73"/>
    <mergeCell ref="G73:M73"/>
    <mergeCell ref="O73:T73"/>
    <mergeCell ref="V73:AD73"/>
    <mergeCell ref="A53:M60"/>
    <mergeCell ref="N53:Y60"/>
    <mergeCell ref="Z53:AD60"/>
    <mergeCell ref="A61:M65"/>
    <mergeCell ref="N61:Y65"/>
    <mergeCell ref="Z61:AD65"/>
    <mergeCell ref="A48:M49"/>
    <mergeCell ref="N48:Y49"/>
    <mergeCell ref="Z48:AD49"/>
    <mergeCell ref="A50:M52"/>
    <mergeCell ref="N50:Y52"/>
    <mergeCell ref="Z50:AD52"/>
    <mergeCell ref="A41:M41"/>
    <mergeCell ref="N41:Y41"/>
    <mergeCell ref="Z41:AD41"/>
    <mergeCell ref="A42:M47"/>
    <mergeCell ref="N42:Y47"/>
    <mergeCell ref="Z42:AD47"/>
    <mergeCell ref="A34:M37"/>
    <mergeCell ref="N34:Y37"/>
    <mergeCell ref="Z34:AD37"/>
    <mergeCell ref="A38:M40"/>
    <mergeCell ref="N38:Y40"/>
    <mergeCell ref="Z38:AD40"/>
    <mergeCell ref="A29:M31"/>
    <mergeCell ref="N29:Y31"/>
    <mergeCell ref="Z29:AD31"/>
    <mergeCell ref="Z32:AD32"/>
    <mergeCell ref="A32:M33"/>
    <mergeCell ref="N32:Y33"/>
    <mergeCell ref="A18:M25"/>
    <mergeCell ref="N18:Y25"/>
    <mergeCell ref="Z18:AD25"/>
    <mergeCell ref="A26:M28"/>
    <mergeCell ref="N26:Y28"/>
    <mergeCell ref="Z26:AD28"/>
    <mergeCell ref="A13:M13"/>
    <mergeCell ref="N13:Y13"/>
    <mergeCell ref="Z13:AD13"/>
    <mergeCell ref="A14:M17"/>
    <mergeCell ref="N14:Y17"/>
    <mergeCell ref="Z14:AD17"/>
    <mergeCell ref="A8:AD8"/>
    <mergeCell ref="B2:I2"/>
    <mergeCell ref="A5:AD5"/>
    <mergeCell ref="A6:AD6"/>
    <mergeCell ref="A7:AD7"/>
    <mergeCell ref="A9:M12"/>
    <mergeCell ref="N9:Y12"/>
    <mergeCell ref="Z9:AD12"/>
  </mergeCells>
  <phoneticPr fontId="0" type="noConversion"/>
  <pageMargins left="0.39374999999999999" right="0.19652800000000001" top="0.35" bottom="0.39374999999999999" header="0.309722" footer="0.19652800000000001"/>
  <pageSetup paperSize="9" fitToWidth="0" fitToHeight="3"/>
  <headerFooter>
    <oddFooter>&amp;C&amp;A стр.&amp;P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topLeftCell="A50" workbookViewId="0">
      <selection activeCell="AJ22" sqref="AJ22"/>
    </sheetView>
  </sheetViews>
  <sheetFormatPr defaultRowHeight="12.75"/>
  <cols>
    <col min="1" max="1" width="3.28515625" customWidth="1"/>
    <col min="2" max="2" width="1.42578125" customWidth="1"/>
    <col min="3" max="3" width="2.7109375" customWidth="1"/>
    <col min="4" max="4" width="3.7109375" customWidth="1"/>
    <col min="5" max="5" width="2.85546875" customWidth="1"/>
    <col min="6" max="6" width="4.28515625" customWidth="1"/>
    <col min="7" max="7" width="2.42578125" customWidth="1"/>
    <col min="8" max="8" width="1.85546875" customWidth="1"/>
    <col min="9" max="9" width="2.7109375" customWidth="1"/>
    <col min="10" max="10" width="3.5703125" customWidth="1"/>
    <col min="11" max="14" width="3.28515625" customWidth="1"/>
    <col min="15" max="15" width="2.140625" customWidth="1"/>
    <col min="16" max="16" width="4" customWidth="1"/>
    <col min="17" max="17" width="3.5703125" customWidth="1"/>
    <col min="18" max="18" width="3.140625" customWidth="1"/>
    <col min="19" max="19" width="3.28515625" customWidth="1"/>
    <col min="20" max="20" width="5.140625" customWidth="1"/>
    <col min="21" max="21" width="3.5703125" customWidth="1"/>
    <col min="22" max="22" width="3.28515625" customWidth="1"/>
    <col min="23" max="23" width="2.28515625" customWidth="1"/>
    <col min="24" max="24" width="5.42578125" customWidth="1"/>
    <col min="25" max="25" width="4.7109375" customWidth="1"/>
    <col min="26" max="26" width="1.85546875" customWidth="1"/>
    <col min="27" max="27" width="2" customWidth="1"/>
    <col min="28" max="28" width="2.7109375" customWidth="1"/>
    <col min="29" max="29" width="1.42578125" customWidth="1"/>
    <col min="30" max="30" width="6.5703125" customWidth="1"/>
    <col min="31" max="31" width="2.42578125" hidden="1" customWidth="1"/>
    <col min="32" max="32" width="3.28515625" hidden="1" customWidth="1"/>
  </cols>
  <sheetData>
    <row r="1" spans="1:34" s="55" customFormat="1" ht="15.75" customHeight="1">
      <c r="A1" s="64"/>
      <c r="B1" s="64" t="str">
        <f ca="1">'Исходник '!B3</f>
        <v>ООО «ТМ-Электро»</v>
      </c>
      <c r="C1" s="68"/>
      <c r="P1" s="64" t="s">
        <v>489</v>
      </c>
      <c r="Q1" s="352"/>
      <c r="R1" s="352"/>
      <c r="S1" s="352"/>
      <c r="T1" s="553">
        <f ca="1">'Исходник '!B19</f>
        <v>0</v>
      </c>
      <c r="U1" s="553"/>
      <c r="V1" s="553"/>
      <c r="W1" s="553"/>
      <c r="X1" s="553"/>
      <c r="Y1" s="553"/>
      <c r="Z1" s="553"/>
      <c r="AA1" s="553"/>
      <c r="AB1" s="553"/>
      <c r="AC1" s="553"/>
      <c r="AD1" s="553"/>
    </row>
    <row r="2" spans="1:34" s="55" customFormat="1" ht="15.75" customHeight="1">
      <c r="A2" s="66"/>
      <c r="B2" s="504" t="s">
        <v>632</v>
      </c>
      <c r="C2" s="516"/>
      <c r="D2" s="516"/>
      <c r="E2" s="516"/>
      <c r="F2" s="516"/>
      <c r="G2" s="516"/>
      <c r="H2" s="516"/>
      <c r="I2" s="516"/>
      <c r="J2" s="283"/>
      <c r="K2" s="36"/>
      <c r="L2" s="36"/>
      <c r="M2" s="36"/>
      <c r="N2" s="36"/>
      <c r="P2" s="64" t="s">
        <v>491</v>
      </c>
      <c r="Q2" s="352"/>
      <c r="R2" s="352"/>
      <c r="S2" s="352"/>
      <c r="T2" s="553" t="str">
        <f ca="1">'Исходник '!B20</f>
        <v>Фитнес-клуб</v>
      </c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4" s="55" customFormat="1" ht="15" customHeight="1">
      <c r="A3" s="64"/>
      <c r="B3" s="59" t="str">
        <f ca="1">CONCATENATE('Исходник '!A5," ",'Исходник '!B5)</f>
        <v>Свидетельство о регистрации № 6231-2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P3" s="64" t="s">
        <v>494</v>
      </c>
      <c r="Q3" s="352"/>
      <c r="R3" s="553">
        <f ca="1">'Исходник '!B21</f>
        <v>0</v>
      </c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spans="1:34" s="55" customFormat="1" ht="15" customHeight="1">
      <c r="A4" s="64"/>
      <c r="B4" s="59" t="str">
        <f ca="1">CONCATENATE('Исходник '!A7," ",'Исходник '!B7)</f>
        <v xml:space="preserve">Действительно до «11» января 2022 г. 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P4" s="64" t="s">
        <v>633</v>
      </c>
      <c r="R4" s="100"/>
      <c r="Y4" s="553" t="str">
        <f ca="1">'Исходник '!B34</f>
        <v>29 января 2020г.</v>
      </c>
      <c r="Z4" s="468"/>
      <c r="AA4" s="468"/>
      <c r="AB4" s="468"/>
      <c r="AC4" s="468"/>
      <c r="AD4" s="468"/>
    </row>
    <row r="5" spans="1:34" s="55" customFormat="1" ht="15" customHeight="1">
      <c r="A5" s="517" t="str">
        <f ca="1">CONCATENATE('Исходник '!A16," ",'Исходник '!D13)</f>
        <v>Протокол  №505-2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</row>
    <row r="6" spans="1:34" s="55" customFormat="1" ht="15" customHeight="1">
      <c r="A6" s="609" t="s">
        <v>796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</row>
    <row r="7" spans="1:34" s="55" customFormat="1" ht="15" customHeight="1">
      <c r="A7" s="609" t="s">
        <v>797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</row>
    <row r="8" spans="1:34" s="55" customFormat="1" ht="15" customHeight="1">
      <c r="A8" s="517" t="s">
        <v>518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</row>
    <row r="9" spans="1:34" s="55" customFormat="1" ht="15" customHeight="1">
      <c r="A9" s="76"/>
      <c r="B9" s="76"/>
      <c r="C9" s="76"/>
      <c r="D9" s="76"/>
      <c r="E9" s="76"/>
      <c r="F9" s="377"/>
      <c r="H9" s="76"/>
      <c r="I9" s="297" t="s">
        <v>798</v>
      </c>
      <c r="J9" s="288">
        <f ca="1">'Исходник '!B36</f>
        <v>21</v>
      </c>
      <c r="K9" s="76" t="s">
        <v>521</v>
      </c>
      <c r="L9" s="76" t="s">
        <v>799</v>
      </c>
      <c r="Q9" s="288">
        <f ca="1">'Исходник '!B37</f>
        <v>58</v>
      </c>
      <c r="R9" s="289" t="s">
        <v>523</v>
      </c>
      <c r="S9" s="76" t="s">
        <v>800</v>
      </c>
      <c r="Y9" s="288">
        <f ca="1">'Исходник '!B38</f>
        <v>741</v>
      </c>
      <c r="Z9" s="76" t="s">
        <v>525</v>
      </c>
      <c r="AB9" s="76"/>
      <c r="AC9" s="76"/>
      <c r="AD9" s="76"/>
    </row>
    <row r="10" spans="1:34" s="55" customFormat="1" ht="15" customHeight="1">
      <c r="A10" s="517" t="s">
        <v>801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</row>
    <row r="11" spans="1:34" s="55" customFormat="1" ht="15" customHeight="1">
      <c r="A11" s="636" t="str">
        <f ca="1">'Исходник '!B23</f>
        <v>эксплуатационные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</row>
    <row r="12" spans="1:34" s="55" customFormat="1" ht="15" customHeight="1">
      <c r="A12" s="606" t="s">
        <v>802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</row>
    <row r="13" spans="1:34" s="55" customFormat="1" ht="15" customHeight="1">
      <c r="A13" s="596" t="s">
        <v>803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</row>
    <row r="14" spans="1:34" s="55" customFormat="1" ht="15" customHeight="1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</row>
    <row r="15" spans="1:34" s="55" customFormat="1" ht="15" customHeight="1">
      <c r="A15" s="635" t="s">
        <v>804</v>
      </c>
      <c r="B15" s="635"/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</row>
    <row r="16" spans="1:34" ht="18" customHeight="1">
      <c r="A16" s="611" t="s">
        <v>540</v>
      </c>
      <c r="B16" s="611"/>
      <c r="C16" s="611" t="s">
        <v>805</v>
      </c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 t="s">
        <v>806</v>
      </c>
      <c r="V16" s="611"/>
      <c r="W16" s="611"/>
      <c r="X16" s="611"/>
      <c r="Y16" s="611"/>
      <c r="Z16" s="611" t="s">
        <v>807</v>
      </c>
      <c r="AA16" s="611"/>
      <c r="AB16" s="611"/>
      <c r="AC16" s="611"/>
      <c r="AD16" s="611"/>
      <c r="AG16" s="55"/>
      <c r="AH16" s="55"/>
    </row>
    <row r="17" spans="1:34" ht="18" customHeight="1">
      <c r="A17" s="611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H17" s="55"/>
    </row>
    <row r="18" spans="1:34" ht="18" customHeight="1">
      <c r="A18" s="611"/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H18" s="55"/>
    </row>
    <row r="19" spans="1:34" s="134" customFormat="1" ht="18" customHeight="1">
      <c r="A19" s="529">
        <v>1</v>
      </c>
      <c r="B19" s="529"/>
      <c r="C19" s="529">
        <v>2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>
        <v>3</v>
      </c>
      <c r="V19" s="529"/>
      <c r="W19" s="529"/>
      <c r="X19" s="529"/>
      <c r="Y19" s="529"/>
      <c r="Z19" s="529">
        <v>4</v>
      </c>
      <c r="AA19" s="529"/>
      <c r="AB19" s="529"/>
      <c r="AC19" s="529"/>
      <c r="AD19" s="529"/>
      <c r="AH19" s="55"/>
    </row>
    <row r="20" spans="1:34" s="134" customFormat="1" ht="18" customHeight="1">
      <c r="A20" s="73" t="s">
        <v>808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5"/>
      <c r="AH20" s="55"/>
    </row>
    <row r="21" spans="1:34" s="134" customFormat="1" ht="18" customHeight="1">
      <c r="A21" s="73" t="s">
        <v>809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/>
      <c r="AH21" s="55"/>
    </row>
    <row r="22" spans="1:34" s="341" customFormat="1" ht="18" customHeight="1">
      <c r="A22" s="622">
        <v>1</v>
      </c>
      <c r="B22" s="624"/>
      <c r="C22" s="637" t="s">
        <v>810</v>
      </c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9"/>
      <c r="U22" s="622">
        <v>2</v>
      </c>
      <c r="V22" s="623"/>
      <c r="W22" s="623"/>
      <c r="X22" s="623"/>
      <c r="Y22" s="624"/>
      <c r="Z22" s="622">
        <v>0.02</v>
      </c>
      <c r="AA22" s="623"/>
      <c r="AB22" s="623"/>
      <c r="AC22" s="623"/>
      <c r="AD22" s="624"/>
    </row>
    <row r="23" spans="1:34" s="341" customFormat="1" ht="18" customHeight="1">
      <c r="A23" s="622">
        <f>A22+1</f>
        <v>2</v>
      </c>
      <c r="B23" s="624"/>
      <c r="C23" s="637" t="s">
        <v>811</v>
      </c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9"/>
      <c r="U23" s="622">
        <v>1</v>
      </c>
      <c r="V23" s="623"/>
      <c r="W23" s="623"/>
      <c r="X23" s="623"/>
      <c r="Y23" s="624"/>
      <c r="Z23" s="622">
        <v>0.04</v>
      </c>
      <c r="AA23" s="623"/>
      <c r="AB23" s="623"/>
      <c r="AC23" s="623"/>
      <c r="AD23" s="624"/>
    </row>
    <row r="24" spans="1:34" s="341" customFormat="1" ht="18" customHeight="1">
      <c r="A24" s="622">
        <f>A23+1</f>
        <v>3</v>
      </c>
      <c r="B24" s="624"/>
      <c r="C24" s="620" t="s">
        <v>812</v>
      </c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>
        <v>1</v>
      </c>
      <c r="T24" s="620"/>
      <c r="U24" s="611">
        <v>10</v>
      </c>
      <c r="V24" s="611"/>
      <c r="W24" s="611"/>
      <c r="X24" s="611"/>
      <c r="Y24" s="611"/>
      <c r="Z24" s="622">
        <v>0.01</v>
      </c>
      <c r="AA24" s="623"/>
      <c r="AB24" s="623"/>
      <c r="AC24" s="623"/>
      <c r="AD24" s="624"/>
    </row>
    <row r="25" spans="1:34" s="134" customFormat="1" ht="18" customHeight="1">
      <c r="A25" s="73" t="s">
        <v>813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5"/>
      <c r="AH25" s="55"/>
    </row>
    <row r="26" spans="1:34" s="341" customFormat="1" ht="18" customHeight="1">
      <c r="A26" s="622">
        <v>4</v>
      </c>
      <c r="B26" s="624"/>
      <c r="C26" s="637" t="s">
        <v>810</v>
      </c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9"/>
      <c r="U26" s="622">
        <v>2</v>
      </c>
      <c r="V26" s="623"/>
      <c r="W26" s="623"/>
      <c r="X26" s="623"/>
      <c r="Y26" s="624"/>
      <c r="Z26" s="622">
        <v>0.03</v>
      </c>
      <c r="AA26" s="623"/>
      <c r="AB26" s="623"/>
      <c r="AC26" s="623"/>
      <c r="AD26" s="624"/>
    </row>
    <row r="27" spans="1:34" s="341" customFormat="1" ht="18" customHeight="1">
      <c r="A27" s="622">
        <f>A26+1</f>
        <v>5</v>
      </c>
      <c r="B27" s="624"/>
      <c r="C27" s="637" t="s">
        <v>811</v>
      </c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9"/>
      <c r="U27" s="622">
        <v>1</v>
      </c>
      <c r="V27" s="623"/>
      <c r="W27" s="623"/>
      <c r="X27" s="623"/>
      <c r="Y27" s="624"/>
      <c r="Z27" s="622">
        <v>0.04</v>
      </c>
      <c r="AA27" s="623"/>
      <c r="AB27" s="623"/>
      <c r="AC27" s="623"/>
      <c r="AD27" s="624"/>
    </row>
    <row r="28" spans="1:34" s="341" customFormat="1" ht="18" customHeight="1">
      <c r="A28" s="622">
        <f>A27+1</f>
        <v>6</v>
      </c>
      <c r="B28" s="624"/>
      <c r="C28" s="620" t="s">
        <v>812</v>
      </c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>
        <v>1</v>
      </c>
      <c r="T28" s="620"/>
      <c r="U28" s="611">
        <v>10</v>
      </c>
      <c r="V28" s="611"/>
      <c r="W28" s="611"/>
      <c r="X28" s="611"/>
      <c r="Y28" s="611"/>
      <c r="Z28" s="622">
        <v>0.01</v>
      </c>
      <c r="AA28" s="623"/>
      <c r="AB28" s="623"/>
      <c r="AC28" s="623"/>
      <c r="AD28" s="624"/>
    </row>
    <row r="29" spans="1:34" s="134" customFormat="1" ht="18" customHeight="1">
      <c r="A29" s="73" t="s">
        <v>814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  <c r="AH29" s="55"/>
    </row>
    <row r="30" spans="1:34" s="134" customFormat="1" ht="18" customHeight="1">
      <c r="A30" s="622">
        <v>7</v>
      </c>
      <c r="B30" s="624"/>
      <c r="C30" s="620" t="s">
        <v>815</v>
      </c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>
        <v>1</v>
      </c>
      <c r="T30" s="620"/>
      <c r="U30" s="622">
        <v>28</v>
      </c>
      <c r="V30" s="623"/>
      <c r="W30" s="623"/>
      <c r="X30" s="623"/>
      <c r="Y30" s="624"/>
      <c r="Z30" s="622" t="s">
        <v>816</v>
      </c>
      <c r="AA30" s="623"/>
      <c r="AB30" s="623"/>
      <c r="AC30" s="623"/>
      <c r="AD30" s="624"/>
    </row>
    <row r="31" spans="1:34" ht="18" customHeight="1">
      <c r="A31" s="622">
        <v>8</v>
      </c>
      <c r="B31" s="624"/>
      <c r="C31" s="620" t="s">
        <v>817</v>
      </c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>
        <v>1</v>
      </c>
      <c r="T31" s="620"/>
      <c r="U31" s="622">
        <v>2</v>
      </c>
      <c r="V31" s="623"/>
      <c r="W31" s="623"/>
      <c r="X31" s="623"/>
      <c r="Y31" s="624"/>
      <c r="Z31" s="622" t="s">
        <v>589</v>
      </c>
      <c r="AA31" s="623"/>
      <c r="AB31" s="623"/>
      <c r="AC31" s="623"/>
      <c r="AD31" s="624"/>
    </row>
    <row r="32" spans="1:34" s="134" customFormat="1" ht="18" customHeight="1">
      <c r="A32" s="622">
        <v>9</v>
      </c>
      <c r="B32" s="624"/>
      <c r="C32" s="637" t="s">
        <v>818</v>
      </c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9"/>
      <c r="U32" s="622">
        <v>1</v>
      </c>
      <c r="V32" s="623"/>
      <c r="W32" s="623"/>
      <c r="X32" s="623"/>
      <c r="Y32" s="624"/>
      <c r="Z32" s="622" t="s">
        <v>589</v>
      </c>
      <c r="AA32" s="623"/>
      <c r="AB32" s="623"/>
      <c r="AC32" s="623"/>
      <c r="AD32" s="624"/>
    </row>
    <row r="33" spans="1:34" s="134" customFormat="1" ht="18" customHeight="1">
      <c r="A33" s="73" t="s">
        <v>819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5"/>
      <c r="AH33" s="55"/>
    </row>
    <row r="34" spans="1:34" s="341" customFormat="1" ht="18" customHeight="1">
      <c r="A34" s="622">
        <v>10</v>
      </c>
      <c r="B34" s="624"/>
      <c r="C34" s="637" t="s">
        <v>820</v>
      </c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9"/>
      <c r="U34" s="622">
        <v>2</v>
      </c>
      <c r="V34" s="623"/>
      <c r="W34" s="623"/>
      <c r="X34" s="623"/>
      <c r="Y34" s="624"/>
      <c r="Z34" s="622">
        <v>0.01</v>
      </c>
      <c r="AA34" s="623"/>
      <c r="AB34" s="623"/>
      <c r="AC34" s="623"/>
      <c r="AD34" s="624"/>
    </row>
    <row r="35" spans="1:34" s="341" customFormat="1" ht="18" customHeight="1">
      <c r="A35" s="622">
        <v>11</v>
      </c>
      <c r="B35" s="624"/>
      <c r="C35" s="637" t="s">
        <v>810</v>
      </c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9"/>
      <c r="U35" s="622">
        <v>2</v>
      </c>
      <c r="V35" s="623"/>
      <c r="W35" s="623"/>
      <c r="X35" s="623"/>
      <c r="Y35" s="624"/>
      <c r="Z35" s="622">
        <v>0.02</v>
      </c>
      <c r="AA35" s="623"/>
      <c r="AB35" s="623"/>
      <c r="AC35" s="623"/>
      <c r="AD35" s="624"/>
    </row>
    <row r="36" spans="1:34" s="341" customFormat="1" ht="18" customHeight="1">
      <c r="A36" s="622">
        <f>A35+1</f>
        <v>12</v>
      </c>
      <c r="B36" s="624"/>
      <c r="C36" s="637" t="s">
        <v>811</v>
      </c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638"/>
      <c r="S36" s="638"/>
      <c r="T36" s="639"/>
      <c r="U36" s="622">
        <v>1</v>
      </c>
      <c r="V36" s="623"/>
      <c r="W36" s="623"/>
      <c r="X36" s="623"/>
      <c r="Y36" s="624"/>
      <c r="Z36" s="622">
        <v>0.03</v>
      </c>
      <c r="AA36" s="623"/>
      <c r="AB36" s="623"/>
      <c r="AC36" s="623"/>
      <c r="AD36" s="624"/>
    </row>
    <row r="37" spans="1:34" s="341" customFormat="1" ht="18" customHeight="1">
      <c r="A37" s="622">
        <f>A36+1</f>
        <v>13</v>
      </c>
      <c r="B37" s="624"/>
      <c r="C37" s="620" t="s">
        <v>812</v>
      </c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>
        <v>1</v>
      </c>
      <c r="T37" s="620"/>
      <c r="U37" s="611">
        <v>12</v>
      </c>
      <c r="V37" s="611"/>
      <c r="W37" s="611"/>
      <c r="X37" s="611"/>
      <c r="Y37" s="611"/>
      <c r="Z37" s="622">
        <v>0.01</v>
      </c>
      <c r="AA37" s="623"/>
      <c r="AB37" s="623"/>
      <c r="AC37" s="623"/>
      <c r="AD37" s="624"/>
    </row>
    <row r="38" spans="1:34" s="134" customFormat="1" ht="18" customHeight="1">
      <c r="A38" s="73" t="s">
        <v>821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5"/>
      <c r="AH38" s="55"/>
    </row>
    <row r="39" spans="1:34" s="341" customFormat="1" ht="18" customHeight="1">
      <c r="A39" s="622">
        <v>14</v>
      </c>
      <c r="B39" s="624"/>
      <c r="C39" s="637" t="s">
        <v>810</v>
      </c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9"/>
      <c r="U39" s="622">
        <v>2</v>
      </c>
      <c r="V39" s="623"/>
      <c r="W39" s="623"/>
      <c r="X39" s="623"/>
      <c r="Y39" s="624"/>
      <c r="Z39" s="622">
        <v>0.03</v>
      </c>
      <c r="AA39" s="623"/>
      <c r="AB39" s="623"/>
      <c r="AC39" s="623"/>
      <c r="AD39" s="624"/>
    </row>
    <row r="40" spans="1:34" s="341" customFormat="1" ht="18" customHeight="1">
      <c r="A40" s="622">
        <f>A39+1</f>
        <v>15</v>
      </c>
      <c r="B40" s="624"/>
      <c r="C40" s="637" t="s">
        <v>811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9"/>
      <c r="U40" s="622">
        <v>1</v>
      </c>
      <c r="V40" s="623"/>
      <c r="W40" s="623"/>
      <c r="X40" s="623"/>
      <c r="Y40" s="624"/>
      <c r="Z40" s="622">
        <v>0.04</v>
      </c>
      <c r="AA40" s="623"/>
      <c r="AB40" s="623"/>
      <c r="AC40" s="623"/>
      <c r="AD40" s="624"/>
    </row>
    <row r="41" spans="1:34" s="341" customFormat="1" ht="18" customHeight="1">
      <c r="A41" s="622">
        <f>A40+1</f>
        <v>16</v>
      </c>
      <c r="B41" s="624"/>
      <c r="C41" s="620" t="s">
        <v>812</v>
      </c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>
        <v>1</v>
      </c>
      <c r="T41" s="620"/>
      <c r="U41" s="611">
        <v>8</v>
      </c>
      <c r="V41" s="611"/>
      <c r="W41" s="611"/>
      <c r="X41" s="611"/>
      <c r="Y41" s="611"/>
      <c r="Z41" s="622">
        <v>0.01</v>
      </c>
      <c r="AA41" s="623"/>
      <c r="AB41" s="623"/>
      <c r="AC41" s="623"/>
      <c r="AD41" s="624"/>
    </row>
    <row r="42" spans="1:34" s="134" customFormat="1" ht="18" customHeight="1">
      <c r="A42" s="73" t="s">
        <v>822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H42" s="55"/>
    </row>
    <row r="43" spans="1:34" s="134" customFormat="1" ht="18" customHeight="1">
      <c r="A43" s="73" t="s">
        <v>823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5"/>
      <c r="AH43" s="55"/>
    </row>
    <row r="44" spans="1:34" s="134" customFormat="1" ht="21" customHeight="1">
      <c r="A44" s="622">
        <v>17</v>
      </c>
      <c r="B44" s="624"/>
      <c r="C44" s="637" t="s">
        <v>824</v>
      </c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9"/>
      <c r="U44" s="622">
        <v>1</v>
      </c>
      <c r="V44" s="623"/>
      <c r="W44" s="623"/>
      <c r="X44" s="623"/>
      <c r="Y44" s="624"/>
      <c r="Z44" s="622" t="s">
        <v>589</v>
      </c>
      <c r="AA44" s="623"/>
      <c r="AB44" s="623"/>
      <c r="AC44" s="623"/>
      <c r="AD44" s="624"/>
    </row>
    <row r="45" spans="1:34" s="134" customFormat="1" ht="18" customHeight="1">
      <c r="A45" s="622">
        <v>18</v>
      </c>
      <c r="B45" s="624"/>
      <c r="C45" s="620" t="s">
        <v>825</v>
      </c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>
        <v>1</v>
      </c>
      <c r="T45" s="620"/>
      <c r="U45" s="622">
        <v>4</v>
      </c>
      <c r="V45" s="623"/>
      <c r="W45" s="623"/>
      <c r="X45" s="623"/>
      <c r="Y45" s="624"/>
      <c r="Z45" s="622" t="s">
        <v>589</v>
      </c>
      <c r="AA45" s="623"/>
      <c r="AB45" s="623"/>
      <c r="AC45" s="623"/>
      <c r="AD45" s="624"/>
    </row>
    <row r="46" spans="1:34" s="134" customFormat="1" ht="18" customHeight="1">
      <c r="A46" s="622">
        <v>19</v>
      </c>
      <c r="B46" s="624"/>
      <c r="C46" s="637" t="s">
        <v>826</v>
      </c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8"/>
      <c r="T46" s="639"/>
      <c r="U46" s="622">
        <v>1</v>
      </c>
      <c r="V46" s="623"/>
      <c r="W46" s="623"/>
      <c r="X46" s="623"/>
      <c r="Y46" s="624"/>
      <c r="Z46" s="622">
        <v>0.04</v>
      </c>
      <c r="AA46" s="623"/>
      <c r="AB46" s="623"/>
      <c r="AC46" s="623"/>
      <c r="AD46" s="624"/>
    </row>
    <row r="47" spans="1:34" s="134" customFormat="1" ht="18" customHeight="1">
      <c r="A47" s="622">
        <v>20</v>
      </c>
      <c r="B47" s="624"/>
      <c r="C47" s="637" t="s">
        <v>827</v>
      </c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9"/>
      <c r="U47" s="622">
        <v>1</v>
      </c>
      <c r="V47" s="623"/>
      <c r="W47" s="623"/>
      <c r="X47" s="623"/>
      <c r="Y47" s="624"/>
      <c r="Z47" s="622">
        <v>0.04</v>
      </c>
      <c r="AA47" s="623"/>
      <c r="AB47" s="623"/>
      <c r="AC47" s="623"/>
      <c r="AD47" s="624"/>
    </row>
    <row r="48" spans="1:34" s="134" customFormat="1" ht="18" customHeight="1">
      <c r="A48" s="622">
        <v>21</v>
      </c>
      <c r="B48" s="624"/>
      <c r="C48" s="637" t="s">
        <v>818</v>
      </c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9"/>
      <c r="U48" s="622">
        <v>1</v>
      </c>
      <c r="V48" s="623"/>
      <c r="W48" s="623"/>
      <c r="X48" s="623"/>
      <c r="Y48" s="624"/>
      <c r="Z48" s="622" t="s">
        <v>589</v>
      </c>
      <c r="AA48" s="623"/>
      <c r="AB48" s="623"/>
      <c r="AC48" s="623"/>
      <c r="AD48" s="624"/>
    </row>
    <row r="49" spans="1:34" s="134" customFormat="1" ht="18" customHeight="1">
      <c r="A49" s="622">
        <v>22</v>
      </c>
      <c r="B49" s="624"/>
      <c r="C49" s="620" t="s">
        <v>828</v>
      </c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>
        <v>1</v>
      </c>
      <c r="T49" s="620"/>
      <c r="U49" s="622">
        <v>5</v>
      </c>
      <c r="V49" s="623"/>
      <c r="W49" s="623"/>
      <c r="X49" s="623"/>
      <c r="Y49" s="624"/>
      <c r="Z49" s="622" t="s">
        <v>589</v>
      </c>
      <c r="AA49" s="623"/>
      <c r="AB49" s="623"/>
      <c r="AC49" s="623"/>
      <c r="AD49" s="624"/>
    </row>
    <row r="50" spans="1:34" s="134" customFormat="1" ht="18" customHeight="1">
      <c r="A50" s="73" t="s">
        <v>829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H50" s="55"/>
    </row>
    <row r="51" spans="1:34" s="341" customFormat="1" ht="18" customHeight="1">
      <c r="A51" s="622">
        <v>23</v>
      </c>
      <c r="B51" s="624"/>
      <c r="C51" s="637" t="s">
        <v>810</v>
      </c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9"/>
      <c r="U51" s="622">
        <v>2</v>
      </c>
      <c r="V51" s="623"/>
      <c r="W51" s="623"/>
      <c r="X51" s="623"/>
      <c r="Y51" s="624"/>
      <c r="Z51" s="622">
        <v>0.03</v>
      </c>
      <c r="AA51" s="623"/>
      <c r="AB51" s="623"/>
      <c r="AC51" s="623"/>
      <c r="AD51" s="624"/>
    </row>
    <row r="52" spans="1:34" s="341" customFormat="1" ht="18" customHeight="1">
      <c r="A52" s="622">
        <f>A51+1</f>
        <v>24</v>
      </c>
      <c r="B52" s="624"/>
      <c r="C52" s="637" t="s">
        <v>830</v>
      </c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8"/>
      <c r="T52" s="639"/>
      <c r="U52" s="622">
        <v>1</v>
      </c>
      <c r="V52" s="623"/>
      <c r="W52" s="623"/>
      <c r="X52" s="623"/>
      <c r="Y52" s="624"/>
      <c r="Z52" s="622" t="s">
        <v>589</v>
      </c>
      <c r="AA52" s="623"/>
      <c r="AB52" s="623"/>
      <c r="AC52" s="623"/>
      <c r="AD52" s="624"/>
    </row>
    <row r="53" spans="1:34" s="341" customFormat="1" ht="18" customHeight="1">
      <c r="A53" s="622">
        <f>A52+1</f>
        <v>25</v>
      </c>
      <c r="B53" s="624"/>
      <c r="C53" s="620" t="s">
        <v>812</v>
      </c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>
        <v>1</v>
      </c>
      <c r="T53" s="620"/>
      <c r="U53" s="611">
        <v>15</v>
      </c>
      <c r="V53" s="611"/>
      <c r="W53" s="611"/>
      <c r="X53" s="611"/>
      <c r="Y53" s="611"/>
      <c r="Z53" s="622">
        <v>0.01</v>
      </c>
      <c r="AA53" s="623"/>
      <c r="AB53" s="623"/>
      <c r="AC53" s="623"/>
      <c r="AD53" s="624"/>
    </row>
    <row r="54" spans="1:34" s="134" customFormat="1" ht="18" customHeight="1">
      <c r="A54" s="622">
        <v>26</v>
      </c>
      <c r="B54" s="624"/>
      <c r="C54" s="637" t="s">
        <v>831</v>
      </c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9"/>
      <c r="U54" s="622">
        <v>1</v>
      </c>
      <c r="V54" s="623"/>
      <c r="W54" s="623"/>
      <c r="X54" s="623"/>
      <c r="Y54" s="624"/>
      <c r="Z54" s="622">
        <v>0.01</v>
      </c>
      <c r="AA54" s="623"/>
      <c r="AB54" s="623"/>
      <c r="AC54" s="623"/>
      <c r="AD54" s="624"/>
    </row>
    <row r="55" spans="1:34" s="134" customFormat="1" ht="18" customHeight="1">
      <c r="A55" s="622">
        <v>27</v>
      </c>
      <c r="B55" s="624"/>
      <c r="C55" s="637" t="s">
        <v>832</v>
      </c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  <c r="P55" s="638"/>
      <c r="Q55" s="638"/>
      <c r="R55" s="638"/>
      <c r="S55" s="638"/>
      <c r="T55" s="639"/>
      <c r="U55" s="622">
        <v>1</v>
      </c>
      <c r="V55" s="623"/>
      <c r="W55" s="623"/>
      <c r="X55" s="623"/>
      <c r="Y55" s="624"/>
      <c r="Z55" s="622">
        <v>0.01</v>
      </c>
      <c r="AA55" s="623"/>
      <c r="AB55" s="623"/>
      <c r="AC55" s="623"/>
      <c r="AD55" s="624"/>
    </row>
    <row r="56" spans="1:34" s="134" customFormat="1" ht="18" customHeight="1">
      <c r="A56" s="622">
        <v>28</v>
      </c>
      <c r="B56" s="624"/>
      <c r="C56" s="637" t="s">
        <v>833</v>
      </c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38"/>
      <c r="Q56" s="638"/>
      <c r="R56" s="638"/>
      <c r="S56" s="638"/>
      <c r="T56" s="639"/>
      <c r="U56" s="622">
        <v>1</v>
      </c>
      <c r="V56" s="623"/>
      <c r="W56" s="623"/>
      <c r="X56" s="623"/>
      <c r="Y56" s="624"/>
      <c r="Z56" s="622">
        <v>0.01</v>
      </c>
      <c r="AA56" s="623"/>
      <c r="AB56" s="623"/>
      <c r="AC56" s="623"/>
      <c r="AD56" s="624"/>
    </row>
    <row r="57" spans="1:34" s="134" customFormat="1" ht="18" customHeight="1">
      <c r="A57" s="73" t="s">
        <v>834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5"/>
      <c r="AH57" s="55"/>
    </row>
    <row r="58" spans="1:34" s="341" customFormat="1" ht="18" customHeight="1">
      <c r="A58" s="622">
        <v>29</v>
      </c>
      <c r="B58" s="624"/>
      <c r="C58" s="637" t="s">
        <v>820</v>
      </c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9"/>
      <c r="U58" s="622">
        <v>2</v>
      </c>
      <c r="V58" s="623"/>
      <c r="W58" s="623"/>
      <c r="X58" s="623"/>
      <c r="Y58" s="624"/>
      <c r="Z58" s="622">
        <v>0.01</v>
      </c>
      <c r="AA58" s="623"/>
      <c r="AB58" s="623"/>
      <c r="AC58" s="623"/>
      <c r="AD58" s="624"/>
    </row>
    <row r="59" spans="1:34" s="341" customFormat="1" ht="18" customHeight="1">
      <c r="A59" s="622">
        <v>30</v>
      </c>
      <c r="B59" s="624"/>
      <c r="C59" s="637" t="s">
        <v>810</v>
      </c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38"/>
      <c r="S59" s="638"/>
      <c r="T59" s="639"/>
      <c r="U59" s="622">
        <v>4</v>
      </c>
      <c r="V59" s="623"/>
      <c r="W59" s="623"/>
      <c r="X59" s="623"/>
      <c r="Y59" s="624"/>
      <c r="Z59" s="622">
        <v>0.02</v>
      </c>
      <c r="AA59" s="623"/>
      <c r="AB59" s="623"/>
      <c r="AC59" s="623"/>
      <c r="AD59" s="624"/>
    </row>
    <row r="60" spans="1:34" s="341" customFormat="1" ht="18" customHeight="1">
      <c r="A60" s="622">
        <v>31</v>
      </c>
      <c r="B60" s="624"/>
      <c r="C60" s="637" t="s">
        <v>811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9"/>
      <c r="U60" s="622">
        <v>1</v>
      </c>
      <c r="V60" s="623"/>
      <c r="W60" s="623"/>
      <c r="X60" s="623"/>
      <c r="Y60" s="624"/>
      <c r="Z60" s="622">
        <v>0.03</v>
      </c>
      <c r="AA60" s="623"/>
      <c r="AB60" s="623"/>
      <c r="AC60" s="623"/>
      <c r="AD60" s="624"/>
    </row>
    <row r="61" spans="1:34" s="341" customFormat="1" ht="18" customHeight="1">
      <c r="A61" s="622">
        <v>32</v>
      </c>
      <c r="B61" s="624"/>
      <c r="C61" s="620" t="s">
        <v>812</v>
      </c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>
        <v>1</v>
      </c>
      <c r="T61" s="620"/>
      <c r="U61" s="611">
        <v>13</v>
      </c>
      <c r="V61" s="611"/>
      <c r="W61" s="611"/>
      <c r="X61" s="611"/>
      <c r="Y61" s="611"/>
      <c r="Z61" s="622">
        <v>0.01</v>
      </c>
      <c r="AA61" s="623"/>
      <c r="AB61" s="623"/>
      <c r="AC61" s="623"/>
      <c r="AD61" s="624"/>
    </row>
    <row r="62" spans="1:34" s="134" customFormat="1" ht="18" customHeight="1">
      <c r="A62" s="73" t="s">
        <v>835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H62" s="55"/>
    </row>
    <row r="63" spans="1:34" s="341" customFormat="1" ht="18" customHeight="1">
      <c r="A63" s="622">
        <v>33</v>
      </c>
      <c r="B63" s="624"/>
      <c r="C63" s="637" t="s">
        <v>810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9"/>
      <c r="U63" s="622">
        <v>2</v>
      </c>
      <c r="V63" s="623"/>
      <c r="W63" s="623"/>
      <c r="X63" s="623"/>
      <c r="Y63" s="624"/>
      <c r="Z63" s="622">
        <v>0.02</v>
      </c>
      <c r="AA63" s="623"/>
      <c r="AB63" s="623"/>
      <c r="AC63" s="623"/>
      <c r="AD63" s="624"/>
    </row>
    <row r="64" spans="1:34" s="341" customFormat="1" ht="18" customHeight="1">
      <c r="A64" s="622">
        <f>A63+1</f>
        <v>34</v>
      </c>
      <c r="B64" s="624"/>
      <c r="C64" s="637" t="s">
        <v>811</v>
      </c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9"/>
      <c r="U64" s="622">
        <v>1</v>
      </c>
      <c r="V64" s="623"/>
      <c r="W64" s="623"/>
      <c r="X64" s="623"/>
      <c r="Y64" s="624"/>
      <c r="Z64" s="622">
        <v>0.03</v>
      </c>
      <c r="AA64" s="623"/>
      <c r="AB64" s="623"/>
      <c r="AC64" s="623"/>
      <c r="AD64" s="624"/>
    </row>
    <row r="65" spans="1:34" s="341" customFormat="1" ht="18" customHeight="1">
      <c r="A65" s="622">
        <f>A64+1</f>
        <v>35</v>
      </c>
      <c r="B65" s="624"/>
      <c r="C65" s="620" t="s">
        <v>812</v>
      </c>
      <c r="D65" s="620"/>
      <c r="E65" s="620"/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>
        <v>1</v>
      </c>
      <c r="T65" s="620"/>
      <c r="U65" s="611">
        <v>14</v>
      </c>
      <c r="V65" s="611"/>
      <c r="W65" s="611"/>
      <c r="X65" s="611"/>
      <c r="Y65" s="611"/>
      <c r="Z65" s="622">
        <v>0.01</v>
      </c>
      <c r="AA65" s="623"/>
      <c r="AB65" s="623"/>
      <c r="AC65" s="623"/>
      <c r="AD65" s="624"/>
    </row>
    <row r="66" spans="1:34" s="134" customFormat="1" ht="18" customHeight="1">
      <c r="A66" s="73" t="s">
        <v>836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H66" s="55"/>
    </row>
    <row r="67" spans="1:34" s="341" customFormat="1" ht="18" customHeight="1">
      <c r="A67" s="622">
        <v>36</v>
      </c>
      <c r="B67" s="624"/>
      <c r="C67" s="637" t="s">
        <v>810</v>
      </c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9"/>
      <c r="U67" s="622">
        <v>2</v>
      </c>
      <c r="V67" s="623"/>
      <c r="W67" s="623"/>
      <c r="X67" s="623"/>
      <c r="Y67" s="624"/>
      <c r="Z67" s="622">
        <v>0.03</v>
      </c>
      <c r="AA67" s="623"/>
      <c r="AB67" s="623"/>
      <c r="AC67" s="623"/>
      <c r="AD67" s="624"/>
    </row>
    <row r="68" spans="1:34" s="341" customFormat="1" ht="18" customHeight="1">
      <c r="A68" s="622">
        <f>A67+1</f>
        <v>37</v>
      </c>
      <c r="B68" s="624"/>
      <c r="C68" s="637" t="s">
        <v>811</v>
      </c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8"/>
      <c r="T68" s="639"/>
      <c r="U68" s="622">
        <v>1</v>
      </c>
      <c r="V68" s="623"/>
      <c r="W68" s="623"/>
      <c r="X68" s="623"/>
      <c r="Y68" s="624"/>
      <c r="Z68" s="622">
        <v>0.03</v>
      </c>
      <c r="AA68" s="623"/>
      <c r="AB68" s="623"/>
      <c r="AC68" s="623"/>
      <c r="AD68" s="624"/>
    </row>
    <row r="69" spans="1:34" s="341" customFormat="1" ht="18" customHeight="1">
      <c r="A69" s="622">
        <f>A68+1</f>
        <v>38</v>
      </c>
      <c r="B69" s="624"/>
      <c r="C69" s="620" t="s">
        <v>812</v>
      </c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>
        <v>1</v>
      </c>
      <c r="T69" s="620"/>
      <c r="U69" s="611">
        <v>2</v>
      </c>
      <c r="V69" s="611"/>
      <c r="W69" s="611"/>
      <c r="X69" s="611"/>
      <c r="Y69" s="611"/>
      <c r="Z69" s="622">
        <v>0.01</v>
      </c>
      <c r="AA69" s="623"/>
      <c r="AB69" s="623"/>
      <c r="AC69" s="623"/>
      <c r="AD69" s="624"/>
    </row>
    <row r="70" spans="1:34" s="134" customFormat="1" ht="18" customHeight="1">
      <c r="A70" s="73" t="s">
        <v>837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5"/>
      <c r="AH70" s="55"/>
    </row>
    <row r="71" spans="1:34" s="341" customFormat="1" ht="18" customHeight="1">
      <c r="A71" s="622">
        <v>39</v>
      </c>
      <c r="B71" s="624"/>
      <c r="C71" s="637" t="s">
        <v>810</v>
      </c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8"/>
      <c r="T71" s="639"/>
      <c r="U71" s="622">
        <v>2</v>
      </c>
      <c r="V71" s="623"/>
      <c r="W71" s="623"/>
      <c r="X71" s="623"/>
      <c r="Y71" s="624"/>
      <c r="Z71" s="622">
        <v>0.02</v>
      </c>
      <c r="AA71" s="623"/>
      <c r="AB71" s="623"/>
      <c r="AC71" s="623"/>
      <c r="AD71" s="624"/>
    </row>
    <row r="72" spans="1:34" s="341" customFormat="1" ht="18" customHeight="1">
      <c r="A72" s="622">
        <f>A71+1</f>
        <v>40</v>
      </c>
      <c r="B72" s="624"/>
      <c r="C72" s="637" t="s">
        <v>811</v>
      </c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638"/>
      <c r="S72" s="638"/>
      <c r="T72" s="639"/>
      <c r="U72" s="622">
        <v>1</v>
      </c>
      <c r="V72" s="623"/>
      <c r="W72" s="623"/>
      <c r="X72" s="623"/>
      <c r="Y72" s="624"/>
      <c r="Z72" s="622">
        <v>0.04</v>
      </c>
      <c r="AA72" s="623"/>
      <c r="AB72" s="623"/>
      <c r="AC72" s="623"/>
      <c r="AD72" s="624"/>
    </row>
    <row r="73" spans="1:34" s="341" customFormat="1" ht="18" customHeight="1">
      <c r="A73" s="622">
        <f>A72+1</f>
        <v>41</v>
      </c>
      <c r="B73" s="624"/>
      <c r="C73" s="620" t="s">
        <v>812</v>
      </c>
      <c r="D73" s="620"/>
      <c r="E73" s="620"/>
      <c r="F73" s="620"/>
      <c r="G73" s="620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R73" s="620"/>
      <c r="S73" s="620">
        <v>1</v>
      </c>
      <c r="T73" s="620"/>
      <c r="U73" s="611">
        <v>9</v>
      </c>
      <c r="V73" s="611"/>
      <c r="W73" s="611"/>
      <c r="X73" s="611"/>
      <c r="Y73" s="611"/>
      <c r="Z73" s="622">
        <v>0.01</v>
      </c>
      <c r="AA73" s="623"/>
      <c r="AB73" s="623"/>
      <c r="AC73" s="623"/>
      <c r="AD73" s="624"/>
    </row>
    <row r="74" spans="1:34" s="134" customFormat="1" ht="18" customHeight="1">
      <c r="A74" s="73" t="s">
        <v>838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5"/>
      <c r="AH74" s="55"/>
    </row>
    <row r="75" spans="1:34" s="341" customFormat="1" ht="18" customHeight="1">
      <c r="A75" s="622">
        <v>42</v>
      </c>
      <c r="B75" s="624"/>
      <c r="C75" s="637" t="s">
        <v>810</v>
      </c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9"/>
      <c r="U75" s="622">
        <v>2</v>
      </c>
      <c r="V75" s="623"/>
      <c r="W75" s="623"/>
      <c r="X75" s="623"/>
      <c r="Y75" s="624"/>
      <c r="Z75" s="622">
        <v>0.04</v>
      </c>
      <c r="AA75" s="623"/>
      <c r="AB75" s="623"/>
      <c r="AC75" s="623"/>
      <c r="AD75" s="624"/>
    </row>
    <row r="76" spans="1:34" s="341" customFormat="1" ht="18" customHeight="1">
      <c r="A76" s="622">
        <f>A75+1</f>
        <v>43</v>
      </c>
      <c r="B76" s="624"/>
      <c r="C76" s="637" t="s">
        <v>811</v>
      </c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38"/>
      <c r="P76" s="638"/>
      <c r="Q76" s="638"/>
      <c r="R76" s="638"/>
      <c r="S76" s="638"/>
      <c r="T76" s="639"/>
      <c r="U76" s="622">
        <v>1</v>
      </c>
      <c r="V76" s="623"/>
      <c r="W76" s="623"/>
      <c r="X76" s="623"/>
      <c r="Y76" s="624"/>
      <c r="Z76" s="622">
        <v>0.03</v>
      </c>
      <c r="AA76" s="623"/>
      <c r="AB76" s="623"/>
      <c r="AC76" s="623"/>
      <c r="AD76" s="624"/>
    </row>
    <row r="77" spans="1:34" s="341" customFormat="1" ht="18" customHeight="1">
      <c r="A77" s="622">
        <f>A76+1</f>
        <v>44</v>
      </c>
      <c r="B77" s="624"/>
      <c r="C77" s="620" t="s">
        <v>812</v>
      </c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0">
        <v>1</v>
      </c>
      <c r="T77" s="620"/>
      <c r="U77" s="611">
        <v>2</v>
      </c>
      <c r="V77" s="611"/>
      <c r="W77" s="611"/>
      <c r="X77" s="611"/>
      <c r="Y77" s="611"/>
      <c r="Z77" s="622">
        <v>0.01</v>
      </c>
      <c r="AA77" s="623"/>
      <c r="AB77" s="623"/>
      <c r="AC77" s="623"/>
      <c r="AD77" s="624"/>
    </row>
    <row r="78" spans="1:34" s="134" customFormat="1" ht="18" customHeight="1">
      <c r="A78" s="73" t="s">
        <v>839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5"/>
      <c r="AH78" s="55"/>
    </row>
    <row r="79" spans="1:34" s="341" customFormat="1" ht="18" customHeight="1">
      <c r="A79" s="622">
        <v>45</v>
      </c>
      <c r="B79" s="624"/>
      <c r="C79" s="637" t="s">
        <v>810</v>
      </c>
      <c r="D79" s="638"/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8"/>
      <c r="P79" s="638"/>
      <c r="Q79" s="638"/>
      <c r="R79" s="638"/>
      <c r="S79" s="638"/>
      <c r="T79" s="639"/>
      <c r="U79" s="622">
        <v>2</v>
      </c>
      <c r="V79" s="623"/>
      <c r="W79" s="623"/>
      <c r="X79" s="623"/>
      <c r="Y79" s="624"/>
      <c r="Z79" s="622">
        <v>0.03</v>
      </c>
      <c r="AA79" s="623"/>
      <c r="AB79" s="623"/>
      <c r="AC79" s="623"/>
      <c r="AD79" s="624"/>
    </row>
    <row r="80" spans="1:34" s="341" customFormat="1" ht="18" customHeight="1">
      <c r="A80" s="622">
        <v>46</v>
      </c>
      <c r="B80" s="624"/>
      <c r="C80" s="637" t="s">
        <v>820</v>
      </c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9"/>
      <c r="U80" s="622">
        <v>3</v>
      </c>
      <c r="V80" s="623"/>
      <c r="W80" s="623"/>
      <c r="X80" s="623"/>
      <c r="Y80" s="624"/>
      <c r="Z80" s="622">
        <v>0.01</v>
      </c>
      <c r="AA80" s="623"/>
      <c r="AB80" s="623"/>
      <c r="AC80" s="623"/>
      <c r="AD80" s="624"/>
    </row>
    <row r="81" spans="1:34" s="341" customFormat="1" ht="18" customHeight="1">
      <c r="A81" s="622">
        <v>47</v>
      </c>
      <c r="B81" s="624"/>
      <c r="C81" s="637" t="s">
        <v>812</v>
      </c>
      <c r="D81" s="638"/>
      <c r="E81" s="638"/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9"/>
      <c r="U81" s="622">
        <v>2</v>
      </c>
      <c r="V81" s="623"/>
      <c r="W81" s="623"/>
      <c r="X81" s="623"/>
      <c r="Y81" s="624"/>
      <c r="Z81" s="622">
        <v>0.01</v>
      </c>
      <c r="AA81" s="623"/>
      <c r="AB81" s="623"/>
      <c r="AC81" s="623"/>
      <c r="AD81" s="624"/>
    </row>
    <row r="82" spans="1:34" s="134" customFormat="1" ht="18" customHeight="1">
      <c r="A82" s="73" t="s">
        <v>840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5"/>
      <c r="AH82" s="55"/>
    </row>
    <row r="83" spans="1:34" s="341" customFormat="1" ht="21" customHeight="1">
      <c r="A83" s="622">
        <v>48</v>
      </c>
      <c r="B83" s="624"/>
      <c r="C83" s="637" t="s">
        <v>830</v>
      </c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9"/>
      <c r="U83" s="622">
        <v>1</v>
      </c>
      <c r="V83" s="623"/>
      <c r="W83" s="623"/>
      <c r="X83" s="623"/>
      <c r="Y83" s="624"/>
      <c r="Z83" s="622" t="s">
        <v>589</v>
      </c>
      <c r="AA83" s="623"/>
      <c r="AB83" s="623"/>
      <c r="AC83" s="623"/>
      <c r="AD83" s="624"/>
    </row>
    <row r="84" spans="1:34" s="341" customFormat="1" ht="21" customHeight="1">
      <c r="A84" s="622">
        <v>49</v>
      </c>
      <c r="B84" s="624"/>
      <c r="C84" s="620" t="s">
        <v>812</v>
      </c>
      <c r="D84" s="620"/>
      <c r="E84" s="620"/>
      <c r="F84" s="620"/>
      <c r="G84" s="620"/>
      <c r="H84" s="620"/>
      <c r="I84" s="620"/>
      <c r="J84" s="620"/>
      <c r="K84" s="620"/>
      <c r="L84" s="620"/>
      <c r="M84" s="620"/>
      <c r="N84" s="620"/>
      <c r="O84" s="620"/>
      <c r="P84" s="620"/>
      <c r="Q84" s="620"/>
      <c r="R84" s="620"/>
      <c r="S84" s="620">
        <v>1</v>
      </c>
      <c r="T84" s="620"/>
      <c r="U84" s="611">
        <v>3</v>
      </c>
      <c r="V84" s="611"/>
      <c r="W84" s="611"/>
      <c r="X84" s="611"/>
      <c r="Y84" s="611"/>
      <c r="Z84" s="622">
        <v>0.01</v>
      </c>
      <c r="AA84" s="623"/>
      <c r="AB84" s="623"/>
      <c r="AC84" s="623"/>
      <c r="AD84" s="624"/>
    </row>
    <row r="85" spans="1:34" s="134" customFormat="1" ht="21" customHeight="1">
      <c r="A85" s="622"/>
      <c r="B85" s="624"/>
      <c r="C85" s="637"/>
      <c r="D85" s="638"/>
      <c r="E85" s="638"/>
      <c r="F85" s="638"/>
      <c r="G85" s="638"/>
      <c r="H85" s="638"/>
      <c r="I85" s="638"/>
      <c r="J85" s="638"/>
      <c r="K85" s="638"/>
      <c r="L85" s="638"/>
      <c r="M85" s="638"/>
      <c r="N85" s="638"/>
      <c r="O85" s="638"/>
      <c r="P85" s="638"/>
      <c r="Q85" s="638"/>
      <c r="R85" s="638"/>
      <c r="S85" s="638"/>
      <c r="T85" s="639"/>
      <c r="U85" s="622"/>
      <c r="V85" s="623"/>
      <c r="W85" s="623"/>
      <c r="X85" s="623"/>
      <c r="Y85" s="624"/>
      <c r="Z85" s="622"/>
      <c r="AA85" s="623"/>
      <c r="AB85" s="623"/>
      <c r="AC85" s="623"/>
      <c r="AD85" s="624"/>
    </row>
    <row r="86" spans="1:34" s="134" customFormat="1" ht="21" customHeight="1">
      <c r="A86" s="622"/>
      <c r="B86" s="624"/>
      <c r="C86" s="637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9"/>
      <c r="U86" s="622"/>
      <c r="V86" s="623"/>
      <c r="W86" s="623"/>
      <c r="X86" s="623"/>
      <c r="Y86" s="624"/>
      <c r="Z86" s="622"/>
      <c r="AA86" s="623"/>
      <c r="AB86" s="623"/>
      <c r="AC86" s="623"/>
      <c r="AD86" s="624"/>
    </row>
    <row r="87" spans="1:34" s="134" customFormat="1" ht="21" customHeight="1">
      <c r="A87" s="622"/>
      <c r="B87" s="624"/>
      <c r="C87" s="637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638"/>
      <c r="O87" s="638"/>
      <c r="P87" s="638"/>
      <c r="Q87" s="638"/>
      <c r="R87" s="638"/>
      <c r="S87" s="638"/>
      <c r="T87" s="639"/>
      <c r="U87" s="622"/>
      <c r="V87" s="623"/>
      <c r="W87" s="623"/>
      <c r="X87" s="623"/>
      <c r="Y87" s="624"/>
      <c r="Z87" s="622"/>
      <c r="AA87" s="623"/>
      <c r="AB87" s="623"/>
      <c r="AC87" s="623"/>
      <c r="AD87" s="624"/>
    </row>
    <row r="88" spans="1:34" s="134" customFormat="1" ht="21" customHeight="1">
      <c r="A88" s="622"/>
      <c r="B88" s="624"/>
      <c r="C88" s="637"/>
      <c r="D88" s="638"/>
      <c r="E88" s="638"/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9"/>
      <c r="U88" s="622"/>
      <c r="V88" s="623"/>
      <c r="W88" s="623"/>
      <c r="X88" s="623"/>
      <c r="Y88" s="624"/>
      <c r="Z88" s="622"/>
      <c r="AA88" s="623"/>
      <c r="AB88" s="623"/>
      <c r="AC88" s="623"/>
      <c r="AD88" s="624"/>
    </row>
    <row r="89" spans="1:34" ht="17.25" customHeight="1">
      <c r="A89" s="641" t="s">
        <v>841</v>
      </c>
      <c r="B89" s="641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  <c r="Y89" s="641"/>
      <c r="Z89" s="641"/>
      <c r="AA89" s="641"/>
      <c r="AB89" s="641"/>
      <c r="AC89" s="641"/>
      <c r="AD89" s="641"/>
    </row>
    <row r="90" spans="1:34" ht="36.75" customHeight="1">
      <c r="A90" s="640" t="s">
        <v>540</v>
      </c>
      <c r="B90" s="640" t="s">
        <v>541</v>
      </c>
      <c r="C90" s="640"/>
      <c r="D90" s="640"/>
      <c r="E90" s="640"/>
      <c r="F90" s="640" t="s">
        <v>542</v>
      </c>
      <c r="G90" s="640"/>
      <c r="H90" s="640"/>
      <c r="I90" s="640" t="s">
        <v>544</v>
      </c>
      <c r="J90" s="640"/>
      <c r="K90" s="640"/>
      <c r="L90" s="640"/>
      <c r="M90" s="640"/>
      <c r="N90" s="640"/>
      <c r="O90" s="640"/>
      <c r="P90" s="640" t="s">
        <v>545</v>
      </c>
      <c r="Q90" s="640"/>
      <c r="R90" s="640"/>
      <c r="S90" s="640"/>
      <c r="T90" s="640"/>
      <c r="U90" s="640"/>
      <c r="V90" s="640" t="s">
        <v>546</v>
      </c>
      <c r="W90" s="640"/>
      <c r="X90" s="640"/>
      <c r="Y90" s="640"/>
      <c r="Z90" s="640" t="s">
        <v>842</v>
      </c>
      <c r="AA90" s="640"/>
      <c r="AB90" s="640"/>
      <c r="AC90" s="640"/>
      <c r="AD90" s="640"/>
    </row>
    <row r="91" spans="1:34" ht="32.25" customHeight="1">
      <c r="A91" s="640"/>
      <c r="B91" s="640"/>
      <c r="C91" s="640"/>
      <c r="D91" s="640"/>
      <c r="E91" s="640"/>
      <c r="F91" s="640"/>
      <c r="G91" s="640"/>
      <c r="H91" s="640"/>
      <c r="I91" s="640" t="s">
        <v>548</v>
      </c>
      <c r="J91" s="640"/>
      <c r="K91" s="640"/>
      <c r="L91" s="640"/>
      <c r="M91" s="640" t="s">
        <v>549</v>
      </c>
      <c r="N91" s="640"/>
      <c r="O91" s="640"/>
      <c r="P91" s="640" t="s">
        <v>550</v>
      </c>
      <c r="Q91" s="640"/>
      <c r="R91" s="640"/>
      <c r="S91" s="640" t="s">
        <v>551</v>
      </c>
      <c r="T91" s="640"/>
      <c r="U91" s="640"/>
      <c r="V91" s="640"/>
      <c r="W91" s="640"/>
      <c r="X91" s="640"/>
      <c r="Y91" s="640"/>
      <c r="Z91" s="640"/>
      <c r="AA91" s="640"/>
      <c r="AB91" s="640"/>
      <c r="AC91" s="640"/>
      <c r="AD91" s="640"/>
    </row>
    <row r="92" spans="1:34" s="27" customFormat="1" ht="39.75" customHeight="1">
      <c r="A92" s="198">
        <v>1</v>
      </c>
      <c r="B92" s="640" t="str">
        <f ca="1">'Исходник '!B56</f>
        <v>MPI-520</v>
      </c>
      <c r="C92" s="640"/>
      <c r="D92" s="640"/>
      <c r="E92" s="640"/>
      <c r="F92" s="640">
        <f ca="1">'Исходник '!C56</f>
        <v>723895</v>
      </c>
      <c r="G92" s="640"/>
      <c r="H92" s="640"/>
      <c r="I92" s="640" t="str">
        <f ca="1">'Исходник '!F56</f>
        <v>0...400 Ом (0,01 Ом)</v>
      </c>
      <c r="J92" s="640"/>
      <c r="K92" s="640"/>
      <c r="L92" s="640"/>
      <c r="M92" s="640" t="str">
        <f ca="1">'Исходник '!H56</f>
        <v>± (2% R+3 е.м.р.)</v>
      </c>
      <c r="N92" s="640"/>
      <c r="O92" s="640"/>
      <c r="P92" s="642">
        <f ca="1">'Исходник '!J56</f>
        <v>43530</v>
      </c>
      <c r="Q92" s="642"/>
      <c r="R92" s="642"/>
      <c r="S92" s="642">
        <f ca="1">'Исходник '!L56</f>
        <v>43895</v>
      </c>
      <c r="T92" s="642"/>
      <c r="U92" s="642"/>
      <c r="V92" s="640" t="str">
        <f ca="1">'Исходник '!N56</f>
        <v>№18182-А</v>
      </c>
      <c r="W92" s="640"/>
      <c r="X92" s="640"/>
      <c r="Y92" s="640"/>
      <c r="Z92" s="640" t="str">
        <f ca="1">'Исходник '!P56</f>
        <v>ООО "СОНЕЛ"</v>
      </c>
      <c r="AA92" s="640"/>
      <c r="AB92" s="640"/>
      <c r="AC92" s="640"/>
      <c r="AD92" s="640"/>
    </row>
    <row r="93" spans="1:34" s="27" customFormat="1" ht="33.75" customHeight="1">
      <c r="A93" s="198">
        <v>2</v>
      </c>
      <c r="B93" s="640" t="str">
        <f ca="1">'Исходник '!B61</f>
        <v>ИВТМ-7</v>
      </c>
      <c r="C93" s="640"/>
      <c r="D93" s="640"/>
      <c r="E93" s="640"/>
      <c r="F93" s="640">
        <f ca="1">'Исходник '!C61</f>
        <v>20084</v>
      </c>
      <c r="G93" s="640"/>
      <c r="H93" s="640"/>
      <c r="I93" s="640" t="str">
        <f ca="1">'Исходник '!F61</f>
        <v>0-99 %
-20 +60 0С</v>
      </c>
      <c r="J93" s="640"/>
      <c r="K93" s="640"/>
      <c r="L93" s="640"/>
      <c r="M93" s="640" t="str">
        <f ca="1">'Исходник '!H61</f>
        <v>± 2%
± 0,2 0С</v>
      </c>
      <c r="N93" s="640"/>
      <c r="O93" s="640"/>
      <c r="P93" s="642">
        <f ca="1">'Исходник '!J61</f>
        <v>43517</v>
      </c>
      <c r="Q93" s="642"/>
      <c r="R93" s="642"/>
      <c r="S93" s="642" t="str">
        <f ca="1">'Исходник '!L61</f>
        <v>21.02.2020.</v>
      </c>
      <c r="T93" s="642"/>
      <c r="U93" s="642"/>
      <c r="V93" s="640" t="str">
        <f ca="1">'Исходник '!N61</f>
        <v>№197</v>
      </c>
      <c r="W93" s="640"/>
      <c r="X93" s="640"/>
      <c r="Y93" s="640"/>
      <c r="Z93" s="640" t="str">
        <f ca="1">'Исходник '!P61</f>
        <v>ООО НПК "АВИАПРИБОР"</v>
      </c>
      <c r="AA93" s="640"/>
      <c r="AB93" s="640"/>
      <c r="AC93" s="640"/>
      <c r="AD93" s="640"/>
    </row>
    <row r="94" spans="1:34" s="27" customFormat="1" ht="35.25" customHeight="1">
      <c r="A94" s="198">
        <v>3</v>
      </c>
      <c r="B94" s="640" t="str">
        <f ca="1">'Исходник '!B62</f>
        <v>Барометр М 67</v>
      </c>
      <c r="C94" s="640"/>
      <c r="D94" s="640"/>
      <c r="E94" s="640"/>
      <c r="F94" s="640">
        <f ca="1">'Исходник '!C62</f>
        <v>74</v>
      </c>
      <c r="G94" s="640"/>
      <c r="H94" s="640"/>
      <c r="I94" s="640" t="str">
        <f ca="1">'Исходник '!F62</f>
        <v>610-790
 мм.рт.ст</v>
      </c>
      <c r="J94" s="640"/>
      <c r="K94" s="640"/>
      <c r="L94" s="640"/>
      <c r="M94" s="640" t="str">
        <f ca="1">'Исходник '!H62</f>
        <v>± 0,8 мм.рт.ст.</v>
      </c>
      <c r="N94" s="640"/>
      <c r="O94" s="640"/>
      <c r="P94" s="642">
        <f ca="1">'Исходник '!J62</f>
        <v>43517</v>
      </c>
      <c r="Q94" s="642"/>
      <c r="R94" s="642"/>
      <c r="S94" s="642" t="str">
        <f ca="1">'Исходник '!L62</f>
        <v>21.02.2020.</v>
      </c>
      <c r="T94" s="642"/>
      <c r="U94" s="642"/>
      <c r="V94" s="640" t="str">
        <f ca="1">'Исходник '!N62</f>
        <v>№200</v>
      </c>
      <c r="W94" s="640"/>
      <c r="X94" s="640"/>
      <c r="Y94" s="640"/>
      <c r="Z94" s="640" t="str">
        <f ca="1">'Исходник '!P62</f>
        <v>ООО НПК "АВИАПРИБОР"</v>
      </c>
      <c r="AA94" s="640"/>
      <c r="AB94" s="640"/>
      <c r="AC94" s="640"/>
      <c r="AD94" s="640"/>
    </row>
    <row r="95" spans="1:34" ht="15.75">
      <c r="A95" s="643" t="s">
        <v>843</v>
      </c>
      <c r="B95" s="643"/>
      <c r="C95" s="643"/>
      <c r="D95" s="643"/>
      <c r="E95" s="643"/>
      <c r="F95" s="643"/>
      <c r="G95" s="643"/>
      <c r="H95" s="643"/>
      <c r="I95" s="643"/>
      <c r="J95" s="643"/>
      <c r="K95" s="643"/>
      <c r="L95" s="643"/>
      <c r="M95" s="643"/>
      <c r="N95" s="643"/>
      <c r="O95" s="643"/>
      <c r="P95" s="643"/>
      <c r="Q95" s="643"/>
      <c r="R95" s="643"/>
      <c r="S95" s="643"/>
      <c r="T95" s="643"/>
      <c r="U95" s="643"/>
      <c r="V95" s="643"/>
      <c r="W95" s="643"/>
      <c r="X95" s="643"/>
      <c r="Y95" s="643"/>
      <c r="Z95" s="643"/>
      <c r="AA95" s="643"/>
      <c r="AB95" s="643"/>
      <c r="AC95" s="643"/>
      <c r="AD95" s="643"/>
    </row>
    <row r="96" spans="1:34" ht="12.75" customHeight="1">
      <c r="A96" s="644" t="s">
        <v>844</v>
      </c>
      <c r="B96" s="645" t="s">
        <v>845</v>
      </c>
      <c r="C96" s="645"/>
      <c r="D96" s="645"/>
      <c r="E96" s="645"/>
      <c r="F96" s="645"/>
      <c r="G96" s="645"/>
      <c r="H96" s="645"/>
      <c r="I96" s="645"/>
      <c r="J96" s="645"/>
      <c r="K96" s="645"/>
      <c r="L96" s="645"/>
      <c r="M96" s="645"/>
      <c r="N96" s="645"/>
      <c r="O96" s="645"/>
      <c r="P96" s="645"/>
      <c r="Q96" s="645"/>
      <c r="R96" s="645"/>
      <c r="S96" s="645"/>
      <c r="T96" s="645"/>
      <c r="U96" s="645"/>
      <c r="V96" s="645"/>
      <c r="W96" s="645"/>
      <c r="X96" s="645"/>
      <c r="Y96" s="645"/>
      <c r="Z96" s="645"/>
      <c r="AA96" s="645"/>
      <c r="AB96" s="645"/>
      <c r="AC96" s="645"/>
      <c r="AD96" s="645"/>
    </row>
    <row r="97" spans="1:30" ht="15.75" customHeight="1">
      <c r="A97" s="644"/>
      <c r="B97" s="645"/>
      <c r="C97" s="645"/>
      <c r="D97" s="645"/>
      <c r="E97" s="645"/>
      <c r="F97" s="645"/>
      <c r="G97" s="645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645"/>
      <c r="U97" s="645"/>
      <c r="V97" s="645"/>
      <c r="W97" s="645"/>
      <c r="X97" s="645"/>
      <c r="Y97" s="645"/>
      <c r="Z97" s="645"/>
      <c r="AA97" s="645"/>
      <c r="AB97" s="645"/>
      <c r="AC97" s="645"/>
      <c r="AD97" s="645"/>
    </row>
    <row r="98" spans="1:30" ht="18" customHeight="1">
      <c r="A98" s="76" t="s">
        <v>846</v>
      </c>
      <c r="B98" s="645" t="s">
        <v>847</v>
      </c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5"/>
      <c r="V98" s="645"/>
      <c r="W98" s="645"/>
      <c r="X98" s="645"/>
      <c r="Y98" s="645"/>
      <c r="Z98" s="645"/>
      <c r="AA98" s="645"/>
      <c r="AB98" s="645"/>
      <c r="AC98" s="645"/>
      <c r="AD98" s="645"/>
    </row>
    <row r="99" spans="1:30" ht="15.75" customHeight="1">
      <c r="A99" s="76" t="s">
        <v>848</v>
      </c>
      <c r="B99" s="645" t="s">
        <v>849</v>
      </c>
      <c r="C99" s="645"/>
      <c r="D99" s="645"/>
      <c r="E99" s="645"/>
      <c r="F99" s="645"/>
      <c r="G99" s="645"/>
      <c r="H99" s="645"/>
      <c r="I99" s="645"/>
      <c r="J99" s="645"/>
      <c r="K99" s="645"/>
      <c r="L99" s="645"/>
      <c r="M99" s="645"/>
      <c r="N99" s="645"/>
      <c r="O99" s="645"/>
      <c r="P99" s="645"/>
      <c r="Q99" s="645"/>
      <c r="R99" s="645"/>
      <c r="S99" s="645"/>
      <c r="T99" s="645"/>
      <c r="U99" s="645"/>
      <c r="V99" s="645"/>
      <c r="W99" s="645"/>
      <c r="X99" s="645"/>
      <c r="Y99" s="645"/>
      <c r="Z99" s="645"/>
      <c r="AA99" s="645"/>
      <c r="AB99" s="645"/>
      <c r="AC99" s="645"/>
      <c r="AD99" s="645"/>
    </row>
    <row r="100" spans="1:30" ht="15.75" customHeight="1">
      <c r="A100" s="646" t="s">
        <v>850</v>
      </c>
      <c r="B100" s="646"/>
      <c r="C100" s="646"/>
      <c r="D100" s="646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  <c r="P100" s="646"/>
      <c r="Q100" s="646"/>
      <c r="R100" s="646"/>
      <c r="S100" s="646"/>
      <c r="T100" s="646"/>
      <c r="U100" s="646"/>
      <c r="V100" s="646"/>
      <c r="W100" s="646"/>
      <c r="X100" s="646"/>
      <c r="Y100" s="646"/>
      <c r="Z100" s="646"/>
      <c r="AA100" s="646"/>
      <c r="AB100" s="646"/>
      <c r="AC100" s="646"/>
      <c r="AD100" s="646"/>
    </row>
    <row r="101" spans="1:30" ht="12.75" customHeight="1">
      <c r="A101" s="646"/>
      <c r="B101" s="646"/>
      <c r="C101" s="646"/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646"/>
      <c r="T101" s="646"/>
      <c r="U101" s="646"/>
      <c r="V101" s="646"/>
      <c r="W101" s="646"/>
      <c r="X101" s="646"/>
      <c r="Y101" s="646"/>
      <c r="Z101" s="646"/>
      <c r="AA101" s="646"/>
      <c r="AB101" s="646"/>
      <c r="AC101" s="646"/>
      <c r="AD101" s="646"/>
    </row>
    <row r="102" spans="1:30" ht="12.75" customHeight="1">
      <c r="A102" s="646"/>
      <c r="B102" s="646"/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6"/>
      <c r="Y102" s="646"/>
      <c r="Z102" s="646"/>
      <c r="AA102" s="646"/>
      <c r="AB102" s="646"/>
      <c r="AC102" s="646"/>
      <c r="AD102" s="646"/>
    </row>
    <row r="103" spans="1:30" ht="12.75" customHeight="1">
      <c r="A103" s="646"/>
      <c r="B103" s="646"/>
      <c r="C103" s="646"/>
      <c r="D103" s="646"/>
      <c r="E103" s="646"/>
      <c r="F103" s="646"/>
      <c r="G103" s="646"/>
      <c r="H103" s="646"/>
      <c r="I103" s="646"/>
      <c r="J103" s="646"/>
      <c r="K103" s="646"/>
      <c r="L103" s="646"/>
      <c r="M103" s="646"/>
      <c r="N103" s="646"/>
      <c r="O103" s="646"/>
      <c r="P103" s="646"/>
      <c r="Q103" s="646"/>
      <c r="R103" s="646"/>
      <c r="S103" s="646"/>
      <c r="T103" s="646"/>
      <c r="U103" s="646"/>
      <c r="V103" s="646"/>
      <c r="W103" s="646"/>
      <c r="X103" s="646"/>
      <c r="Y103" s="646"/>
      <c r="Z103" s="646"/>
      <c r="AA103" s="646"/>
      <c r="AB103" s="646"/>
      <c r="AC103" s="646"/>
      <c r="AD103" s="646"/>
    </row>
    <row r="104" spans="1:30" ht="67.5" customHeight="1">
      <c r="A104" s="646"/>
      <c r="B104" s="646"/>
      <c r="C104" s="646"/>
      <c r="D104" s="646"/>
      <c r="E104" s="646"/>
      <c r="F104" s="646"/>
      <c r="G104" s="646"/>
      <c r="H104" s="646"/>
      <c r="I104" s="646"/>
      <c r="J104" s="646"/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U104" s="646"/>
      <c r="V104" s="646"/>
      <c r="W104" s="646"/>
      <c r="X104" s="646"/>
      <c r="Y104" s="646"/>
      <c r="Z104" s="646"/>
      <c r="AA104" s="646"/>
      <c r="AB104" s="646"/>
      <c r="AC104" s="646"/>
      <c r="AD104" s="646"/>
    </row>
    <row r="105" spans="1:30" ht="17.25" customHeight="1">
      <c r="A105" s="647" t="s">
        <v>851</v>
      </c>
      <c r="B105" s="648"/>
      <c r="C105" s="648"/>
      <c r="D105" s="648"/>
      <c r="E105" s="648"/>
      <c r="F105" s="648"/>
      <c r="G105" s="648"/>
      <c r="H105" s="648"/>
      <c r="I105" s="648"/>
      <c r="J105" s="648"/>
      <c r="K105" s="648"/>
      <c r="L105" s="648"/>
      <c r="M105" s="648"/>
      <c r="N105" s="648"/>
      <c r="O105" s="648"/>
      <c r="P105" s="648"/>
      <c r="Q105" s="648"/>
      <c r="R105" s="648"/>
      <c r="S105" s="648"/>
      <c r="T105" s="648"/>
      <c r="U105" s="648"/>
      <c r="V105" s="648"/>
      <c r="W105" s="648"/>
      <c r="X105" s="648"/>
      <c r="Y105" s="648"/>
      <c r="Z105" s="648"/>
      <c r="AA105" s="648"/>
      <c r="AB105" s="648"/>
      <c r="AC105" s="648"/>
      <c r="AD105" s="648"/>
    </row>
    <row r="106" spans="1:30" ht="66.75" customHeight="1">
      <c r="A106" s="64" t="s">
        <v>789</v>
      </c>
      <c r="F106" s="630" t="s">
        <v>852</v>
      </c>
      <c r="G106" s="630"/>
      <c r="H106" s="630"/>
      <c r="I106" s="630"/>
      <c r="J106" s="630"/>
      <c r="K106" s="630"/>
      <c r="L106" s="630"/>
      <c r="M106" s="630"/>
      <c r="N106" s="630"/>
      <c r="O106" s="630"/>
      <c r="P106" s="630"/>
      <c r="Q106" s="630"/>
      <c r="R106" s="630"/>
      <c r="S106" s="630"/>
      <c r="T106" s="630"/>
      <c r="U106" s="630"/>
      <c r="V106" s="630"/>
      <c r="W106" s="630"/>
      <c r="X106" s="630"/>
      <c r="Y106" s="630"/>
      <c r="Z106" s="630"/>
      <c r="AA106" s="630"/>
      <c r="AB106" s="630"/>
      <c r="AC106" s="630"/>
      <c r="AD106" s="630"/>
    </row>
    <row r="107" spans="1:30" ht="27" customHeight="1">
      <c r="A107" s="77" t="s">
        <v>790</v>
      </c>
      <c r="B107" s="78"/>
      <c r="C107" s="78"/>
      <c r="D107" s="78"/>
      <c r="E107" s="78"/>
      <c r="F107" s="78"/>
      <c r="G107" s="632" t="s">
        <v>749</v>
      </c>
      <c r="H107" s="632"/>
      <c r="I107" s="632"/>
      <c r="J107" s="632"/>
      <c r="K107" s="632"/>
      <c r="L107" s="632"/>
      <c r="M107" s="632"/>
      <c r="O107" s="632"/>
      <c r="P107" s="632"/>
      <c r="Q107" s="632"/>
      <c r="R107" s="632"/>
      <c r="S107" s="632"/>
      <c r="T107" s="632"/>
      <c r="V107" s="632" t="str">
        <f ca="1">'Исходник '!B12</f>
        <v>Евдокимов А.О.</v>
      </c>
      <c r="W107" s="632"/>
      <c r="X107" s="632"/>
      <c r="Y107" s="632"/>
      <c r="Z107" s="632"/>
      <c r="AA107" s="632"/>
      <c r="AB107" s="632"/>
      <c r="AC107" s="632"/>
      <c r="AD107" s="632"/>
    </row>
    <row r="108" spans="1:30" ht="15" customHeight="1">
      <c r="A108" s="78"/>
      <c r="B108" s="78"/>
      <c r="C108" s="78"/>
      <c r="D108" s="78"/>
      <c r="E108" s="78"/>
      <c r="F108" s="78"/>
      <c r="G108" s="633" t="s">
        <v>751</v>
      </c>
      <c r="H108" s="633"/>
      <c r="I108" s="633"/>
      <c r="J108" s="633"/>
      <c r="K108" s="633"/>
      <c r="L108" s="633"/>
      <c r="M108" s="633"/>
      <c r="O108" s="633" t="s">
        <v>653</v>
      </c>
      <c r="P108" s="633"/>
      <c r="Q108" s="633"/>
      <c r="R108" s="633"/>
      <c r="S108" s="633"/>
      <c r="T108" s="633"/>
      <c r="V108" s="607" t="s">
        <v>791</v>
      </c>
      <c r="W108" s="607"/>
      <c r="X108" s="607"/>
      <c r="Y108" s="607"/>
      <c r="Z108" s="607"/>
      <c r="AA108" s="607"/>
      <c r="AB108" s="607"/>
      <c r="AC108" s="607"/>
      <c r="AD108" s="607"/>
    </row>
    <row r="109" spans="1:30" ht="23.25" customHeight="1">
      <c r="A109" s="23"/>
      <c r="G109" s="632" t="s">
        <v>792</v>
      </c>
      <c r="H109" s="632"/>
      <c r="I109" s="632"/>
      <c r="J109" s="632"/>
      <c r="K109" s="632"/>
      <c r="L109" s="632"/>
      <c r="M109" s="632"/>
      <c r="O109" s="650"/>
      <c r="P109" s="650"/>
      <c r="Q109" s="650"/>
      <c r="R109" s="650"/>
      <c r="S109" s="650"/>
      <c r="T109" s="650"/>
      <c r="V109" s="632" t="str">
        <f ca="1">'Исходник '!B13</f>
        <v>Кокшаров С.В.</v>
      </c>
      <c r="W109" s="632"/>
      <c r="X109" s="632"/>
      <c r="Y109" s="632"/>
      <c r="Z109" s="632"/>
      <c r="AA109" s="632"/>
      <c r="AB109" s="632"/>
      <c r="AC109" s="632"/>
      <c r="AD109" s="632"/>
    </row>
    <row r="110" spans="1:30" ht="15" customHeight="1">
      <c r="A110" s="24"/>
      <c r="G110" s="633" t="s">
        <v>751</v>
      </c>
      <c r="H110" s="633"/>
      <c r="I110" s="633"/>
      <c r="J110" s="633"/>
      <c r="K110" s="633"/>
      <c r="L110" s="633"/>
      <c r="M110" s="633"/>
      <c r="O110" s="633" t="s">
        <v>653</v>
      </c>
      <c r="P110" s="633"/>
      <c r="Q110" s="633"/>
      <c r="R110" s="633"/>
      <c r="S110" s="633"/>
      <c r="T110" s="633"/>
      <c r="V110" s="607" t="s">
        <v>791</v>
      </c>
      <c r="W110" s="607"/>
      <c r="X110" s="607"/>
      <c r="Y110" s="607"/>
      <c r="Z110" s="607"/>
      <c r="AA110" s="607"/>
      <c r="AB110" s="607"/>
      <c r="AC110" s="607"/>
      <c r="AD110" s="607"/>
    </row>
    <row r="111" spans="1:30" ht="27" customHeight="1">
      <c r="A111" s="77" t="s">
        <v>793</v>
      </c>
      <c r="B111" s="78"/>
      <c r="C111" s="78"/>
      <c r="D111" s="78"/>
      <c r="E111" s="78"/>
      <c r="F111" s="78"/>
      <c r="G111" s="632" t="s">
        <v>749</v>
      </c>
      <c r="H111" s="632"/>
      <c r="I111" s="632"/>
      <c r="J111" s="632"/>
      <c r="K111" s="632"/>
      <c r="L111" s="632"/>
      <c r="M111" s="632"/>
      <c r="O111" s="650"/>
      <c r="P111" s="650"/>
      <c r="Q111" s="650"/>
      <c r="R111" s="650"/>
      <c r="S111" s="650"/>
      <c r="T111" s="650"/>
      <c r="V111" s="632" t="str">
        <f ca="1">'Исходник '!B12</f>
        <v>Евдокимов А.О.</v>
      </c>
      <c r="W111" s="632"/>
      <c r="X111" s="632"/>
      <c r="Y111" s="632"/>
      <c r="Z111" s="632"/>
      <c r="AA111" s="632"/>
      <c r="AB111" s="632"/>
      <c r="AC111" s="632"/>
      <c r="AD111" s="632"/>
    </row>
    <row r="112" spans="1:30" ht="26.25" customHeight="1">
      <c r="A112" s="77"/>
      <c r="B112" s="78"/>
      <c r="C112" s="78"/>
      <c r="D112" s="78"/>
      <c r="E112" s="78"/>
      <c r="F112" s="78"/>
      <c r="G112" s="633" t="s">
        <v>751</v>
      </c>
      <c r="H112" s="633"/>
      <c r="I112" s="633"/>
      <c r="J112" s="633"/>
      <c r="K112" s="633"/>
      <c r="L112" s="633"/>
      <c r="M112" s="633"/>
      <c r="O112" s="633" t="s">
        <v>653</v>
      </c>
      <c r="P112" s="633"/>
      <c r="Q112" s="633"/>
      <c r="R112" s="633"/>
      <c r="S112" s="633"/>
      <c r="T112" s="633"/>
      <c r="V112" s="607" t="s">
        <v>791</v>
      </c>
      <c r="W112" s="607"/>
      <c r="X112" s="607"/>
      <c r="Y112" s="607"/>
      <c r="Z112" s="607"/>
      <c r="AA112" s="607"/>
      <c r="AB112" s="607"/>
      <c r="AC112" s="607"/>
      <c r="AD112" s="607"/>
    </row>
    <row r="113" spans="1:30" s="27" customFormat="1" ht="11.25">
      <c r="A113" s="634" t="s">
        <v>794</v>
      </c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</row>
    <row r="114" spans="1:30" s="27" customFormat="1" ht="12.75" customHeight="1">
      <c r="A114" s="649" t="s">
        <v>795</v>
      </c>
      <c r="B114" s="649"/>
      <c r="C114" s="649"/>
      <c r="D114" s="649"/>
      <c r="E114" s="649"/>
      <c r="F114" s="649"/>
      <c r="G114" s="649"/>
      <c r="H114" s="649"/>
      <c r="I114" s="649"/>
      <c r="J114" s="649"/>
      <c r="K114" s="649"/>
      <c r="L114" s="649"/>
      <c r="M114" s="649"/>
      <c r="N114" s="649"/>
      <c r="O114" s="649"/>
      <c r="P114" s="649"/>
      <c r="Q114" s="649"/>
      <c r="R114" s="649"/>
      <c r="S114" s="649"/>
      <c r="T114" s="649"/>
      <c r="U114" s="649"/>
      <c r="V114" s="649"/>
      <c r="W114" s="649"/>
      <c r="X114" s="649"/>
      <c r="Y114" s="649"/>
      <c r="Z114" s="649"/>
      <c r="AA114" s="649"/>
      <c r="AB114" s="649"/>
      <c r="AC114" s="649"/>
      <c r="AD114" s="649"/>
    </row>
    <row r="122" spans="1:30" ht="25.5" customHeight="1"/>
  </sheetData>
  <mergeCells count="298">
    <mergeCell ref="G111:M111"/>
    <mergeCell ref="O111:T111"/>
    <mergeCell ref="V111:AD111"/>
    <mergeCell ref="G112:M112"/>
    <mergeCell ref="O112:T112"/>
    <mergeCell ref="V112:AD112"/>
    <mergeCell ref="A113:AD113"/>
    <mergeCell ref="A114:AD114"/>
    <mergeCell ref="G108:M108"/>
    <mergeCell ref="O108:T108"/>
    <mergeCell ref="V108:AD108"/>
    <mergeCell ref="G109:M109"/>
    <mergeCell ref="O109:T109"/>
    <mergeCell ref="V109:AD109"/>
    <mergeCell ref="G110:M110"/>
    <mergeCell ref="O110:T110"/>
    <mergeCell ref="V110:AD110"/>
    <mergeCell ref="A96:A97"/>
    <mergeCell ref="B96:AD97"/>
    <mergeCell ref="B98:AD98"/>
    <mergeCell ref="B99:AD99"/>
    <mergeCell ref="A100:AD104"/>
    <mergeCell ref="A105:AD105"/>
    <mergeCell ref="F106:AD106"/>
    <mergeCell ref="G107:M107"/>
    <mergeCell ref="O107:T107"/>
    <mergeCell ref="V107:AD107"/>
    <mergeCell ref="B94:E94"/>
    <mergeCell ref="F94:H94"/>
    <mergeCell ref="I94:L94"/>
    <mergeCell ref="M94:O94"/>
    <mergeCell ref="P94:R94"/>
    <mergeCell ref="S94:U94"/>
    <mergeCell ref="V94:Y94"/>
    <mergeCell ref="Z94:AD94"/>
    <mergeCell ref="A95:AD95"/>
    <mergeCell ref="B93:E93"/>
    <mergeCell ref="F93:H93"/>
    <mergeCell ref="I93:L93"/>
    <mergeCell ref="M93:O93"/>
    <mergeCell ref="P92:R92"/>
    <mergeCell ref="S92:U92"/>
    <mergeCell ref="B92:E92"/>
    <mergeCell ref="F92:H92"/>
    <mergeCell ref="I92:L92"/>
    <mergeCell ref="M92:O92"/>
    <mergeCell ref="Z90:AD91"/>
    <mergeCell ref="I91:L91"/>
    <mergeCell ref="M91:O91"/>
    <mergeCell ref="P93:R93"/>
    <mergeCell ref="S93:U93"/>
    <mergeCell ref="V93:Y93"/>
    <mergeCell ref="Z93:AD93"/>
    <mergeCell ref="V92:Y92"/>
    <mergeCell ref="Z92:AD92"/>
    <mergeCell ref="A88:B88"/>
    <mergeCell ref="C88:T88"/>
    <mergeCell ref="U88:Y88"/>
    <mergeCell ref="A89:AD89"/>
    <mergeCell ref="I90:O90"/>
    <mergeCell ref="P90:U90"/>
    <mergeCell ref="A90:A91"/>
    <mergeCell ref="B90:E91"/>
    <mergeCell ref="F90:H91"/>
    <mergeCell ref="V90:Y91"/>
    <mergeCell ref="Z86:AD86"/>
    <mergeCell ref="A87:B87"/>
    <mergeCell ref="C87:T87"/>
    <mergeCell ref="U87:Y87"/>
    <mergeCell ref="Z87:AD87"/>
    <mergeCell ref="P91:R91"/>
    <mergeCell ref="S91:U91"/>
    <mergeCell ref="A86:B86"/>
    <mergeCell ref="C86:T86"/>
    <mergeCell ref="U86:Y86"/>
    <mergeCell ref="Z88:AD88"/>
    <mergeCell ref="A83:B83"/>
    <mergeCell ref="C83:T83"/>
    <mergeCell ref="U83:Y83"/>
    <mergeCell ref="Z83:AD83"/>
    <mergeCell ref="A84:B84"/>
    <mergeCell ref="C84:T84"/>
    <mergeCell ref="U84:Y84"/>
    <mergeCell ref="Z84:AD84"/>
    <mergeCell ref="A85:B85"/>
    <mergeCell ref="C85:T85"/>
    <mergeCell ref="U85:Y85"/>
    <mergeCell ref="Z85:AD85"/>
    <mergeCell ref="A79:B79"/>
    <mergeCell ref="C79:T79"/>
    <mergeCell ref="U79:Y79"/>
    <mergeCell ref="Z79:AD79"/>
    <mergeCell ref="A80:B80"/>
    <mergeCell ref="C80:T80"/>
    <mergeCell ref="U80:Y80"/>
    <mergeCell ref="A75:B75"/>
    <mergeCell ref="C75:T75"/>
    <mergeCell ref="U75:Y75"/>
    <mergeCell ref="Z75:AD75"/>
    <mergeCell ref="Z80:AD80"/>
    <mergeCell ref="A81:B81"/>
    <mergeCell ref="C81:T81"/>
    <mergeCell ref="U81:Y81"/>
    <mergeCell ref="Z81:AD81"/>
    <mergeCell ref="A77:B77"/>
    <mergeCell ref="C77:T77"/>
    <mergeCell ref="U77:Y77"/>
    <mergeCell ref="Z77:AD77"/>
    <mergeCell ref="A76:B76"/>
    <mergeCell ref="C76:T76"/>
    <mergeCell ref="U76:Y76"/>
    <mergeCell ref="Z76:AD76"/>
    <mergeCell ref="U72:Y72"/>
    <mergeCell ref="Z72:AD72"/>
    <mergeCell ref="A71:B71"/>
    <mergeCell ref="C71:T71"/>
    <mergeCell ref="U71:Y71"/>
    <mergeCell ref="Z71:AD71"/>
    <mergeCell ref="A67:B67"/>
    <mergeCell ref="C67:T67"/>
    <mergeCell ref="U67:Y67"/>
    <mergeCell ref="Z67:AD67"/>
    <mergeCell ref="A73:B73"/>
    <mergeCell ref="C73:T73"/>
    <mergeCell ref="U73:Y73"/>
    <mergeCell ref="Z73:AD73"/>
    <mergeCell ref="A72:B72"/>
    <mergeCell ref="C72:T72"/>
    <mergeCell ref="A69:B69"/>
    <mergeCell ref="C69:T69"/>
    <mergeCell ref="U69:Y69"/>
    <mergeCell ref="Z69:AD69"/>
    <mergeCell ref="A68:B68"/>
    <mergeCell ref="C68:T68"/>
    <mergeCell ref="U68:Y68"/>
    <mergeCell ref="Z68:AD68"/>
    <mergeCell ref="U64:Y64"/>
    <mergeCell ref="Z64:AD64"/>
    <mergeCell ref="A63:B63"/>
    <mergeCell ref="C63:T63"/>
    <mergeCell ref="U63:Y63"/>
    <mergeCell ref="Z63:AD63"/>
    <mergeCell ref="A59:B59"/>
    <mergeCell ref="C59:T59"/>
    <mergeCell ref="U59:Y59"/>
    <mergeCell ref="Z59:AD59"/>
    <mergeCell ref="A65:B65"/>
    <mergeCell ref="C65:T65"/>
    <mergeCell ref="U65:Y65"/>
    <mergeCell ref="Z65:AD65"/>
    <mergeCell ref="A64:B64"/>
    <mergeCell ref="C64:T64"/>
    <mergeCell ref="A61:B61"/>
    <mergeCell ref="C61:T61"/>
    <mergeCell ref="U61:Y61"/>
    <mergeCell ref="Z61:AD61"/>
    <mergeCell ref="A60:B60"/>
    <mergeCell ref="C60:T60"/>
    <mergeCell ref="U60:Y60"/>
    <mergeCell ref="Z60:AD60"/>
    <mergeCell ref="U56:Y56"/>
    <mergeCell ref="Z56:AD56"/>
    <mergeCell ref="A55:B55"/>
    <mergeCell ref="C55:T55"/>
    <mergeCell ref="U55:Y55"/>
    <mergeCell ref="Z55:AD55"/>
    <mergeCell ref="A52:B52"/>
    <mergeCell ref="C52:T52"/>
    <mergeCell ref="U52:Y52"/>
    <mergeCell ref="Z52:AD52"/>
    <mergeCell ref="A58:B58"/>
    <mergeCell ref="C58:T58"/>
    <mergeCell ref="U58:Y58"/>
    <mergeCell ref="Z58:AD58"/>
    <mergeCell ref="A56:B56"/>
    <mergeCell ref="C56:T56"/>
    <mergeCell ref="A54:B54"/>
    <mergeCell ref="C54:T54"/>
    <mergeCell ref="U54:Y54"/>
    <mergeCell ref="Z54:AD54"/>
    <mergeCell ref="A53:B53"/>
    <mergeCell ref="C53:T53"/>
    <mergeCell ref="U53:Y53"/>
    <mergeCell ref="Z53:AD53"/>
    <mergeCell ref="U49:Y49"/>
    <mergeCell ref="Z49:AD49"/>
    <mergeCell ref="A48:B48"/>
    <mergeCell ref="C48:T48"/>
    <mergeCell ref="U48:Y48"/>
    <mergeCell ref="Z48:AD48"/>
    <mergeCell ref="A45:B45"/>
    <mergeCell ref="C45:T45"/>
    <mergeCell ref="U45:Y45"/>
    <mergeCell ref="Z45:AD45"/>
    <mergeCell ref="A51:B51"/>
    <mergeCell ref="C51:T51"/>
    <mergeCell ref="U51:Y51"/>
    <mergeCell ref="Z51:AD51"/>
    <mergeCell ref="A49:B49"/>
    <mergeCell ref="C49:T49"/>
    <mergeCell ref="A47:B47"/>
    <mergeCell ref="C47:T47"/>
    <mergeCell ref="U47:Y47"/>
    <mergeCell ref="Z47:AD47"/>
    <mergeCell ref="A46:B46"/>
    <mergeCell ref="C46:T46"/>
    <mergeCell ref="U46:Y46"/>
    <mergeCell ref="Z46:AD46"/>
    <mergeCell ref="U41:Y41"/>
    <mergeCell ref="Z41:AD41"/>
    <mergeCell ref="A40:B40"/>
    <mergeCell ref="C40:T40"/>
    <mergeCell ref="U40:Y40"/>
    <mergeCell ref="Z40:AD40"/>
    <mergeCell ref="A36:B36"/>
    <mergeCell ref="C36:T36"/>
    <mergeCell ref="U36:Y36"/>
    <mergeCell ref="Z36:AD36"/>
    <mergeCell ref="A44:B44"/>
    <mergeCell ref="C44:T44"/>
    <mergeCell ref="U44:Y44"/>
    <mergeCell ref="Z44:AD44"/>
    <mergeCell ref="A41:B41"/>
    <mergeCell ref="C41:T41"/>
    <mergeCell ref="A39:B39"/>
    <mergeCell ref="C39:T39"/>
    <mergeCell ref="U39:Y39"/>
    <mergeCell ref="Z39:AD39"/>
    <mergeCell ref="A37:B37"/>
    <mergeCell ref="C37:T37"/>
    <mergeCell ref="U37:Y37"/>
    <mergeCell ref="Z37:AD37"/>
    <mergeCell ref="U34:Y34"/>
    <mergeCell ref="Z34:AD34"/>
    <mergeCell ref="A32:B32"/>
    <mergeCell ref="C32:T32"/>
    <mergeCell ref="U32:Y32"/>
    <mergeCell ref="Z32:AD32"/>
    <mergeCell ref="A28:B28"/>
    <mergeCell ref="C28:T28"/>
    <mergeCell ref="U28:Y28"/>
    <mergeCell ref="Z28:AD28"/>
    <mergeCell ref="A35:B35"/>
    <mergeCell ref="C35:T35"/>
    <mergeCell ref="U35:Y35"/>
    <mergeCell ref="Z35:AD35"/>
    <mergeCell ref="A34:B34"/>
    <mergeCell ref="C34:T34"/>
    <mergeCell ref="A31:B31"/>
    <mergeCell ref="C31:T31"/>
    <mergeCell ref="U31:Y31"/>
    <mergeCell ref="Z31:AD31"/>
    <mergeCell ref="A30:B30"/>
    <mergeCell ref="C30:T30"/>
    <mergeCell ref="U30:Y30"/>
    <mergeCell ref="Z30:AD30"/>
    <mergeCell ref="U26:Y26"/>
    <mergeCell ref="Z26:AD26"/>
    <mergeCell ref="A24:B24"/>
    <mergeCell ref="C24:T24"/>
    <mergeCell ref="U24:Y24"/>
    <mergeCell ref="Z24:AD24"/>
    <mergeCell ref="A19:B19"/>
    <mergeCell ref="C19:T19"/>
    <mergeCell ref="U19:Y19"/>
    <mergeCell ref="Z19:AD19"/>
    <mergeCell ref="A27:B27"/>
    <mergeCell ref="C27:T27"/>
    <mergeCell ref="U27:Y27"/>
    <mergeCell ref="Z27:AD27"/>
    <mergeCell ref="A26:B26"/>
    <mergeCell ref="C26:T26"/>
    <mergeCell ref="A23:B23"/>
    <mergeCell ref="C23:T23"/>
    <mergeCell ref="U23:Y23"/>
    <mergeCell ref="Z23:AD23"/>
    <mergeCell ref="A22:B22"/>
    <mergeCell ref="C22:T22"/>
    <mergeCell ref="U22:Y22"/>
    <mergeCell ref="Z22:AD22"/>
    <mergeCell ref="A15:AD15"/>
    <mergeCell ref="A16:B18"/>
    <mergeCell ref="C16:T18"/>
    <mergeCell ref="U16:Y18"/>
    <mergeCell ref="Z16:AD18"/>
    <mergeCell ref="A10:AD10"/>
    <mergeCell ref="A11:AD11"/>
    <mergeCell ref="A12:AD12"/>
    <mergeCell ref="A13:AD14"/>
    <mergeCell ref="A8:AD8"/>
    <mergeCell ref="Y4:AD4"/>
    <mergeCell ref="A5:AD5"/>
    <mergeCell ref="A6:AD6"/>
    <mergeCell ref="A7:AD7"/>
    <mergeCell ref="T1:AD1"/>
    <mergeCell ref="B2:I2"/>
    <mergeCell ref="T2:AD2"/>
    <mergeCell ref="R3:AD3"/>
  </mergeCells>
  <phoneticPr fontId="0" type="noConversion"/>
  <pageMargins left="0.39374999999999999" right="0.19652800000000001" top="0.59027799999999997" bottom="0.440278" header="0.51180599999999998" footer="0.19652800000000001"/>
  <pageSetup paperSize="9" fitToWidth="0" fitToHeight="3"/>
  <headerFooter>
    <oddFooter>&amp;C&amp;A стр.&amp;P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283"/>
  <sheetViews>
    <sheetView topLeftCell="A12" workbookViewId="0">
      <selection activeCell="AN31" sqref="AN31"/>
    </sheetView>
  </sheetViews>
  <sheetFormatPr defaultRowHeight="15.75" outlineLevelCol="1"/>
  <cols>
    <col min="1" max="1" width="6" customWidth="1"/>
    <col min="2" max="2" width="11.140625" customWidth="1"/>
    <col min="3" max="3" width="8.7109375" customWidth="1"/>
    <col min="4" max="4" width="7.42578125" customWidth="1"/>
    <col min="5" max="5" width="5.42578125" customWidth="1"/>
    <col min="6" max="6" width="7.5703125" customWidth="1"/>
    <col min="7" max="7" width="2" customWidth="1"/>
    <col min="8" max="8" width="3.85546875" customWidth="1"/>
    <col min="9" max="9" width="4.85546875" customWidth="1"/>
    <col min="10" max="10" width="2.85546875" customWidth="1"/>
    <col min="11" max="11" width="2" customWidth="1"/>
    <col min="12" max="12" width="2.7109375" customWidth="1"/>
    <col min="13" max="13" width="2.42578125" customWidth="1"/>
    <col min="14" max="14" width="2.85546875" customWidth="1"/>
    <col min="15" max="15" width="2.28515625" customWidth="1"/>
    <col min="16" max="16" width="3.28515625" customWidth="1"/>
    <col min="17" max="17" width="4.140625" customWidth="1"/>
    <col min="18" max="18" width="3.28515625" customWidth="1"/>
    <col min="19" max="19" width="3.7109375" customWidth="1"/>
    <col min="20" max="20" width="2.5703125" customWidth="1"/>
    <col min="21" max="21" width="4.42578125" customWidth="1"/>
    <col min="22" max="22" width="3.28515625" customWidth="1"/>
    <col min="23" max="23" width="4.140625" customWidth="1"/>
    <col min="24" max="24" width="3.28515625" customWidth="1"/>
    <col min="25" max="25" width="4.7109375" customWidth="1"/>
    <col min="26" max="26" width="2.5703125" customWidth="1"/>
    <col min="27" max="27" width="4.5703125" customWidth="1"/>
    <col min="28" max="30" width="3.28515625" customWidth="1"/>
    <col min="31" max="31" width="4.140625" customWidth="1"/>
    <col min="32" max="32" width="3.28515625" customWidth="1"/>
    <col min="33" max="33" width="4.140625" customWidth="1"/>
    <col min="34" max="34" width="3.28515625" customWidth="1"/>
    <col min="35" max="35" width="3.42578125" customWidth="1"/>
    <col min="36" max="36" width="9.28515625" hidden="1" customWidth="1" outlineLevel="1"/>
    <col min="37" max="37" width="8.140625" hidden="1" customWidth="1" outlineLevel="1"/>
    <col min="38" max="38" width="3.28515625" customWidth="1" collapsed="1"/>
    <col min="39" max="39" width="3.28515625" customWidth="1"/>
    <col min="40" max="40" width="9.140625" style="6"/>
  </cols>
  <sheetData>
    <row r="1" spans="1:40" s="6" customFormat="1" ht="21" customHeight="1">
      <c r="A1" s="70"/>
      <c r="B1" s="9" t="str">
        <f ca="1">'Исходник '!B3</f>
        <v>ООО «ТМ-Электро»</v>
      </c>
      <c r="C1" s="9"/>
      <c r="D1" s="9"/>
      <c r="E1"/>
      <c r="F1"/>
      <c r="G1"/>
      <c r="H1"/>
      <c r="I1"/>
      <c r="J1"/>
      <c r="K1"/>
      <c r="L1"/>
      <c r="M1"/>
      <c r="N1"/>
      <c r="O1"/>
      <c r="P1"/>
      <c r="Q1" s="9" t="s">
        <v>489</v>
      </c>
      <c r="R1" s="9"/>
      <c r="S1" s="9"/>
      <c r="T1"/>
      <c r="U1" s="656">
        <f ca="1">'Исходник '!B19</f>
        <v>0</v>
      </c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/>
      <c r="AK1"/>
      <c r="AL1"/>
      <c r="AM1"/>
    </row>
    <row r="2" spans="1:40" s="59" customFormat="1" ht="17.25" customHeight="1">
      <c r="A2" s="66"/>
      <c r="B2" s="658" t="s">
        <v>853</v>
      </c>
      <c r="C2" s="602"/>
      <c r="D2" s="602"/>
      <c r="E2" s="36"/>
      <c r="F2" s="36"/>
      <c r="G2" s="55"/>
      <c r="H2" s="55"/>
      <c r="I2" s="55"/>
      <c r="J2" s="55"/>
      <c r="K2" s="55"/>
      <c r="L2" s="55"/>
      <c r="M2" s="55"/>
      <c r="N2" s="55"/>
      <c r="O2" s="55"/>
      <c r="P2" s="55"/>
      <c r="Q2" s="64" t="s">
        <v>491</v>
      </c>
      <c r="R2" s="10"/>
      <c r="S2" s="10"/>
      <c r="T2"/>
      <c r="U2" s="603" t="str">
        <f ca="1">'Исходник '!B20</f>
        <v>Фитнес-клуб</v>
      </c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"/>
      <c r="AK2" s="55"/>
      <c r="AL2" s="55"/>
      <c r="AM2" s="55"/>
    </row>
    <row r="3" spans="1:40" s="6" customFormat="1" ht="19.5" customHeight="1">
      <c r="A3" s="70"/>
      <c r="B3" s="6" t="str">
        <f ca="1">CONCATENATE('Исходник '!A5," ",'Исходник '!B5)</f>
        <v>Свидетельство о регистрации № 6231-2</v>
      </c>
      <c r="E3" s="70"/>
      <c r="F3" s="3"/>
      <c r="G3"/>
      <c r="H3"/>
      <c r="I3"/>
      <c r="J3"/>
      <c r="K3"/>
      <c r="L3"/>
      <c r="M3"/>
      <c r="N3"/>
      <c r="O3"/>
      <c r="P3"/>
      <c r="Q3" s="64" t="s">
        <v>494</v>
      </c>
      <c r="R3" s="10"/>
      <c r="S3"/>
      <c r="T3" s="196"/>
      <c r="U3" s="553">
        <f ca="1">'Исходник '!B21</f>
        <v>0</v>
      </c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/>
      <c r="AK3"/>
      <c r="AL3"/>
      <c r="AM3"/>
    </row>
    <row r="4" spans="1:40" s="6" customFormat="1" ht="18" customHeight="1">
      <c r="A4" s="70"/>
      <c r="B4" s="6" t="str">
        <f ca="1">CONCATENATE('Исходник '!A7," ",'Исходник '!B7)</f>
        <v xml:space="preserve">Действительно до «11» января 2022 г. </v>
      </c>
      <c r="E4" s="5"/>
      <c r="F4" s="5"/>
      <c r="G4"/>
      <c r="H4"/>
      <c r="I4"/>
      <c r="J4"/>
      <c r="K4"/>
      <c r="L4"/>
      <c r="M4"/>
      <c r="N4"/>
      <c r="O4"/>
      <c r="P4"/>
      <c r="Q4" s="9" t="s">
        <v>633</v>
      </c>
      <c r="R4"/>
      <c r="S4" s="10"/>
      <c r="T4"/>
      <c r="U4" s="5"/>
      <c r="V4" s="5"/>
      <c r="W4" s="5"/>
      <c r="X4" s="5"/>
      <c r="Y4"/>
      <c r="Z4" s="659" t="str">
        <f ca="1">'Исходник '!B34</f>
        <v>29 января 2020г.</v>
      </c>
      <c r="AA4" s="444"/>
      <c r="AB4" s="444"/>
      <c r="AC4" s="444"/>
      <c r="AD4" s="444"/>
      <c r="AE4" s="444"/>
      <c r="AF4" s="444"/>
      <c r="AG4" s="444"/>
      <c r="AH4" s="444"/>
      <c r="AI4" s="444"/>
      <c r="AJ4"/>
      <c r="AK4"/>
      <c r="AL4"/>
      <c r="AM4"/>
    </row>
    <row r="5" spans="1:40" s="6" customFormat="1" ht="18" customHeight="1">
      <c r="A5" s="651" t="str">
        <f ca="1">CONCATENATE('Исходник '!A16," ",'Исходник '!D14)</f>
        <v>Протокол  №505-3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/>
      <c r="AK5"/>
      <c r="AL5"/>
      <c r="AM5"/>
    </row>
    <row r="6" spans="1:40" s="6" customFormat="1" ht="18" customHeight="1">
      <c r="A6" s="660" t="s">
        <v>854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/>
      <c r="AK6"/>
      <c r="AL6"/>
      <c r="AM6"/>
    </row>
    <row r="7" spans="1:40" s="6" customFormat="1" ht="18" customHeight="1">
      <c r="A7" s="651" t="s">
        <v>518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/>
      <c r="AK7"/>
      <c r="AL7"/>
      <c r="AM7"/>
    </row>
    <row r="8" spans="1:40" ht="18" customHeight="1">
      <c r="A8" s="7"/>
      <c r="B8" s="653" t="str">
        <f ca="1">'Исходник '!A36</f>
        <v>Температура воздуха:</v>
      </c>
      <c r="C8" s="653"/>
      <c r="D8" s="72">
        <f ca="1">'Исходник '!B36</f>
        <v>21</v>
      </c>
      <c r="E8" s="7" t="s">
        <v>855</v>
      </c>
      <c r="F8" s="653" t="str">
        <f ca="1">'Исходник '!A37</f>
        <v>Влажность воздуха:</v>
      </c>
      <c r="G8" s="444"/>
      <c r="H8" s="444"/>
      <c r="I8" s="444"/>
      <c r="J8" s="444"/>
      <c r="K8" s="652">
        <f ca="1">'Исходник '!B37</f>
        <v>58</v>
      </c>
      <c r="L8" s="654"/>
      <c r="M8" s="654"/>
      <c r="N8" s="12" t="s">
        <v>856</v>
      </c>
      <c r="O8" s="12"/>
      <c r="P8" s="653" t="str">
        <f ca="1">'Исходник '!A38</f>
        <v>Атмосферное давление:</v>
      </c>
      <c r="Q8" s="655"/>
      <c r="R8" s="655"/>
      <c r="S8" s="655"/>
      <c r="T8" s="655"/>
      <c r="U8" s="655"/>
      <c r="V8" s="652">
        <f ca="1">'Исходник '!B38</f>
        <v>741</v>
      </c>
      <c r="W8" s="652"/>
      <c r="X8" s="7" t="s">
        <v>525</v>
      </c>
      <c r="Y8" s="7"/>
      <c r="Z8" s="7"/>
      <c r="AM8" s="6"/>
      <c r="AN8"/>
    </row>
    <row r="9" spans="1:40" s="6" customFormat="1" ht="18" customHeight="1">
      <c r="A9" s="651" t="s">
        <v>857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/>
      <c r="AK9"/>
      <c r="AL9"/>
      <c r="AM9"/>
    </row>
    <row r="10" spans="1:40" s="6" customFormat="1" ht="18" customHeight="1">
      <c r="A10" s="508" t="str">
        <f ca="1">'Исходник '!B23</f>
        <v>эксплуатационные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/>
      <c r="AK10"/>
      <c r="AL10"/>
      <c r="AM10"/>
    </row>
    <row r="11" spans="1:40" s="242" customFormat="1" ht="18" customHeight="1">
      <c r="A11" s="606" t="s">
        <v>802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282"/>
      <c r="AK11" s="282"/>
      <c r="AL11" s="282"/>
      <c r="AM11" s="282"/>
    </row>
    <row r="12" spans="1:40" s="6" customFormat="1" ht="18" customHeight="1">
      <c r="A12" s="651" t="s">
        <v>858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/>
      <c r="AK12"/>
      <c r="AL12"/>
      <c r="AM12"/>
    </row>
    <row r="13" spans="1:40" s="6" customFormat="1" ht="18" customHeight="1">
      <c r="A13" s="500" t="s">
        <v>859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/>
      <c r="AK13"/>
      <c r="AL13"/>
      <c r="AM13"/>
    </row>
    <row r="14" spans="1:40" ht="18" customHeight="1">
      <c r="A14" s="664" t="s">
        <v>804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88"/>
    </row>
    <row r="15" spans="1:40" ht="27.95" customHeight="1">
      <c r="A15" s="548" t="s">
        <v>540</v>
      </c>
      <c r="B15" s="665" t="s">
        <v>860</v>
      </c>
      <c r="C15" s="666"/>
      <c r="D15" s="667"/>
      <c r="E15" s="548" t="s">
        <v>861</v>
      </c>
      <c r="F15" s="548"/>
      <c r="G15" s="548"/>
      <c r="H15" s="548"/>
      <c r="I15" s="548"/>
      <c r="J15" s="548" t="s">
        <v>862</v>
      </c>
      <c r="K15" s="548"/>
      <c r="L15" s="548"/>
      <c r="M15" s="548" t="s">
        <v>863</v>
      </c>
      <c r="N15" s="548"/>
      <c r="O15" s="548"/>
      <c r="P15" s="548" t="s">
        <v>864</v>
      </c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661" t="s">
        <v>865</v>
      </c>
      <c r="AK15" s="661" t="s">
        <v>866</v>
      </c>
    </row>
    <row r="16" spans="1:40" ht="15.75" customHeight="1">
      <c r="A16" s="548"/>
      <c r="B16" s="668"/>
      <c r="C16" s="669"/>
      <c r="D16" s="670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661"/>
      <c r="AK16" s="661"/>
    </row>
    <row r="17" spans="1:44" ht="15.75" customHeight="1">
      <c r="A17" s="548"/>
      <c r="B17" s="668"/>
      <c r="C17" s="669"/>
      <c r="D17" s="670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 t="s">
        <v>867</v>
      </c>
      <c r="Q17" s="548"/>
      <c r="R17" s="548" t="s">
        <v>868</v>
      </c>
      <c r="S17" s="548"/>
      <c r="T17" s="548" t="s">
        <v>869</v>
      </c>
      <c r="U17" s="548"/>
      <c r="V17" s="548" t="s">
        <v>870</v>
      </c>
      <c r="W17" s="548"/>
      <c r="X17" s="548" t="s">
        <v>871</v>
      </c>
      <c r="Y17" s="548"/>
      <c r="Z17" s="548" t="s">
        <v>872</v>
      </c>
      <c r="AA17" s="548"/>
      <c r="AB17" s="548" t="s">
        <v>873</v>
      </c>
      <c r="AC17" s="548"/>
      <c r="AD17" s="548" t="s">
        <v>874</v>
      </c>
      <c r="AE17" s="548"/>
      <c r="AF17" s="548" t="s">
        <v>875</v>
      </c>
      <c r="AG17" s="548"/>
      <c r="AH17" s="548" t="s">
        <v>876</v>
      </c>
      <c r="AI17" s="548"/>
      <c r="AJ17" s="661"/>
      <c r="AK17" s="661"/>
    </row>
    <row r="18" spans="1:44" ht="15.75" customHeight="1">
      <c r="A18" s="548"/>
      <c r="B18" s="668"/>
      <c r="C18" s="669"/>
      <c r="D18" s="670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661"/>
      <c r="AK18" s="661"/>
    </row>
    <row r="19" spans="1:44" ht="15.75" customHeight="1">
      <c r="A19" s="548"/>
      <c r="B19" s="668"/>
      <c r="C19" s="669"/>
      <c r="D19" s="670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661"/>
      <c r="AK19" s="661"/>
    </row>
    <row r="20" spans="1:44" ht="54.75" customHeight="1">
      <c r="A20" s="548"/>
      <c r="B20" s="562"/>
      <c r="C20" s="563"/>
      <c r="D20" s="564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661"/>
      <c r="AK20" s="662"/>
      <c r="AR20" s="7"/>
    </row>
    <row r="21" spans="1:44" s="86" customFormat="1" ht="20.100000000000001" customHeight="1">
      <c r="A21" s="155">
        <v>1</v>
      </c>
      <c r="B21" s="81">
        <v>2</v>
      </c>
      <c r="C21" s="82"/>
      <c r="D21" s="82"/>
      <c r="E21" s="82">
        <v>3</v>
      </c>
      <c r="F21" s="83"/>
      <c r="G21" s="83"/>
      <c r="H21" s="83"/>
      <c r="I21" s="84"/>
      <c r="J21" s="671">
        <v>4</v>
      </c>
      <c r="K21" s="671"/>
      <c r="L21" s="671"/>
      <c r="M21" s="671">
        <v>5</v>
      </c>
      <c r="N21" s="671"/>
      <c r="O21" s="671"/>
      <c r="P21" s="671">
        <v>6</v>
      </c>
      <c r="Q21" s="671"/>
      <c r="R21" s="671">
        <v>7</v>
      </c>
      <c r="S21" s="671"/>
      <c r="T21" s="671">
        <v>8</v>
      </c>
      <c r="U21" s="671"/>
      <c r="V21" s="671">
        <v>9</v>
      </c>
      <c r="W21" s="671"/>
      <c r="X21" s="671">
        <v>10</v>
      </c>
      <c r="Y21" s="671"/>
      <c r="Z21" s="671">
        <v>11</v>
      </c>
      <c r="AA21" s="671"/>
      <c r="AB21" s="671">
        <v>12</v>
      </c>
      <c r="AC21" s="671"/>
      <c r="AD21" s="671">
        <v>13</v>
      </c>
      <c r="AE21" s="671"/>
      <c r="AF21" s="671">
        <v>14</v>
      </c>
      <c r="AG21" s="671"/>
      <c r="AH21" s="671">
        <v>15</v>
      </c>
      <c r="AI21" s="671"/>
      <c r="AJ21" s="87"/>
      <c r="AK21" s="85"/>
      <c r="AN21" s="53"/>
      <c r="AP21"/>
      <c r="AQ21"/>
    </row>
    <row r="22" spans="1:44" s="134" customFormat="1" ht="20.100000000000001" customHeight="1">
      <c r="A22" s="73" t="str">
        <f ca="1">'Протокол №505-2'!A20</f>
        <v>пом. №220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36"/>
      <c r="AK22" s="87"/>
      <c r="AN22" s="35"/>
      <c r="AP22"/>
      <c r="AQ22"/>
    </row>
    <row r="23" spans="1:44" s="134" customFormat="1" ht="20.100000000000001" customHeight="1">
      <c r="A23" s="73" t="str">
        <f ca="1">'Протокол №505-2'!A21</f>
        <v>ЩС-1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136"/>
      <c r="AK23" s="87"/>
      <c r="AN23" s="35"/>
      <c r="AP23"/>
      <c r="AQ23"/>
    </row>
    <row r="24" spans="1:44" s="148" customFormat="1" ht="20.100000000000001" customHeight="1">
      <c r="A24" s="135">
        <v>1</v>
      </c>
      <c r="B24" s="146" t="s">
        <v>877</v>
      </c>
      <c r="C24" s="403" t="s">
        <v>878</v>
      </c>
      <c r="D24" s="147" t="str">
        <f t="shared" ref="D24:D31" si="0">IF(AJ24="АВС","~380В","~220В")</f>
        <v>~220В</v>
      </c>
      <c r="E24" s="545" t="s">
        <v>879</v>
      </c>
      <c r="F24" s="546"/>
      <c r="G24" s="250" t="str">
        <f t="shared" ref="G24:G31" si="1">IF(OR(E24="ПВС",E24="ПУНП",E24="ПУГНП",E24="ШВВП"),"*"," ")</f>
        <v xml:space="preserve"> </v>
      </c>
      <c r="H24" s="249" t="s">
        <v>880</v>
      </c>
      <c r="I24" s="147">
        <v>2.5</v>
      </c>
      <c r="J24" s="548">
        <f t="shared" ref="J24:J31" si="2">IF(I24&gt;16,2500,1000)</f>
        <v>1000</v>
      </c>
      <c r="K24" s="546"/>
      <c r="L24" s="547"/>
      <c r="M24" s="548">
        <v>0.5</v>
      </c>
      <c r="N24" s="548"/>
      <c r="O24" s="548"/>
      <c r="P24" s="663" t="str">
        <f t="shared" ref="P24:P31" si="3">IF(AJ24="АВС",TRUNC((AK24+AK24*15/100)/10,0)*10,"-")</f>
        <v>-</v>
      </c>
      <c r="Q24" s="663"/>
      <c r="R24" s="672" t="str">
        <f t="shared" ref="R24:R31" si="4">IF(AJ24="АВС",TRUNC((AK24-AK24*10/100)/10,0)*10,"-")</f>
        <v>-</v>
      </c>
      <c r="S24" s="673"/>
      <c r="T24" s="663" t="str">
        <f t="shared" ref="T24:T31" si="5">IF(AJ24="АВС",TRUNC((AK24+AK24*8/100)/10,0)*10,"-")</f>
        <v>-</v>
      </c>
      <c r="U24" s="663"/>
      <c r="V24" s="663">
        <f t="shared" ref="V24:V31" si="6">IF(OR(AJ24="АВС",AJ24="А"),TRUNC((AK24-AK24*6/100)/10,0)*10,"-")</f>
        <v>1970</v>
      </c>
      <c r="W24" s="663"/>
      <c r="X24" s="663" t="str">
        <f t="shared" ref="X24:X31" si="7">IF(OR(AJ24="АВС",AJ24="В"),TRUNC((AK24-AK24*9/100)/10,0)*10,"-")</f>
        <v>-</v>
      </c>
      <c r="Y24" s="663"/>
      <c r="Z24" s="663" t="str">
        <f t="shared" ref="Z24:Z31" si="8">IF(OR(AJ24="АВС",AJ24="С"),TRUNC((AK24+AK24*4/100)/10,0)*10,"-")</f>
        <v>-</v>
      </c>
      <c r="AA24" s="663"/>
      <c r="AB24" s="663">
        <f t="shared" ref="AB24:AB31" si="9">IF(OR(AJ24="АВС",AJ24="А"),TRUNC((AK24+AK24*7/100)/10,0)*10,"-")</f>
        <v>2240</v>
      </c>
      <c r="AC24" s="663"/>
      <c r="AD24" s="663" t="str">
        <f t="shared" ref="AD24:AD31" si="10">IF(OR(AJ24="АВС",AJ24="В"),TRUNC((AK24-AK24*3/100)/10,0)*10,"-")</f>
        <v>-</v>
      </c>
      <c r="AE24" s="663"/>
      <c r="AF24" s="663" t="str">
        <f t="shared" ref="AF24:AF31" si="11">IF(OR(AJ24="АВС",AJ24="С"),TRUNC((AK24+AK24*5/100)/10,0)*10,"-")</f>
        <v>-</v>
      </c>
      <c r="AG24" s="663"/>
      <c r="AH24" s="548">
        <f t="shared" ref="AH24:AH31" si="12">TRUNC(AK24/10,0)*10</f>
        <v>2100</v>
      </c>
      <c r="AI24" s="548"/>
      <c r="AJ24" s="149" t="s">
        <v>448</v>
      </c>
      <c r="AK24" s="150">
        <v>2100</v>
      </c>
    </row>
    <row r="25" spans="1:44" s="148" customFormat="1" ht="20.100000000000001" customHeight="1">
      <c r="A25" s="135">
        <f t="shared" ref="A25:A31" si="13">A24+1</f>
        <v>2</v>
      </c>
      <c r="B25" s="146" t="s">
        <v>877</v>
      </c>
      <c r="C25" s="403" t="s">
        <v>881</v>
      </c>
      <c r="D25" s="147" t="str">
        <f t="shared" si="0"/>
        <v>~220В</v>
      </c>
      <c r="E25" s="545" t="s">
        <v>879</v>
      </c>
      <c r="F25" s="546"/>
      <c r="G25" s="250" t="str">
        <f t="shared" si="1"/>
        <v xml:space="preserve"> </v>
      </c>
      <c r="H25" s="249" t="s">
        <v>880</v>
      </c>
      <c r="I25" s="147">
        <v>2.5</v>
      </c>
      <c r="J25" s="548">
        <f t="shared" si="2"/>
        <v>1000</v>
      </c>
      <c r="K25" s="546"/>
      <c r="L25" s="547"/>
      <c r="M25" s="548">
        <v>0.5</v>
      </c>
      <c r="N25" s="548"/>
      <c r="O25" s="548"/>
      <c r="P25" s="663" t="str">
        <f t="shared" si="3"/>
        <v>-</v>
      </c>
      <c r="Q25" s="663"/>
      <c r="R25" s="672" t="str">
        <f t="shared" si="4"/>
        <v>-</v>
      </c>
      <c r="S25" s="673"/>
      <c r="T25" s="663" t="str">
        <f t="shared" si="5"/>
        <v>-</v>
      </c>
      <c r="U25" s="663"/>
      <c r="V25" s="663" t="str">
        <f t="shared" si="6"/>
        <v>-</v>
      </c>
      <c r="W25" s="663"/>
      <c r="X25" s="663">
        <f t="shared" si="7"/>
        <v>2040</v>
      </c>
      <c r="Y25" s="663"/>
      <c r="Z25" s="663" t="str">
        <f t="shared" si="8"/>
        <v>-</v>
      </c>
      <c r="AA25" s="663"/>
      <c r="AB25" s="663" t="str">
        <f t="shared" si="9"/>
        <v>-</v>
      </c>
      <c r="AC25" s="663"/>
      <c r="AD25" s="663">
        <f t="shared" si="10"/>
        <v>2180</v>
      </c>
      <c r="AE25" s="663"/>
      <c r="AF25" s="663" t="str">
        <f t="shared" si="11"/>
        <v>-</v>
      </c>
      <c r="AG25" s="663"/>
      <c r="AH25" s="548">
        <f t="shared" si="12"/>
        <v>2250</v>
      </c>
      <c r="AI25" s="548"/>
      <c r="AJ25" s="149" t="s">
        <v>441</v>
      </c>
      <c r="AK25" s="150">
        <v>2250</v>
      </c>
    </row>
    <row r="26" spans="1:44" s="148" customFormat="1" ht="20.100000000000001" customHeight="1">
      <c r="A26" s="135">
        <f t="shared" si="13"/>
        <v>3</v>
      </c>
      <c r="B26" s="146" t="s">
        <v>877</v>
      </c>
      <c r="C26" s="403" t="s">
        <v>882</v>
      </c>
      <c r="D26" s="147" t="str">
        <f t="shared" si="0"/>
        <v>~220В</v>
      </c>
      <c r="E26" s="545" t="s">
        <v>879</v>
      </c>
      <c r="F26" s="546"/>
      <c r="G26" s="250" t="str">
        <f t="shared" si="1"/>
        <v xml:space="preserve"> </v>
      </c>
      <c r="H26" s="249" t="s">
        <v>880</v>
      </c>
      <c r="I26" s="147">
        <v>2.5</v>
      </c>
      <c r="J26" s="548">
        <f t="shared" si="2"/>
        <v>1000</v>
      </c>
      <c r="K26" s="546"/>
      <c r="L26" s="547"/>
      <c r="M26" s="548">
        <v>0.5</v>
      </c>
      <c r="N26" s="548"/>
      <c r="O26" s="548"/>
      <c r="P26" s="663" t="str">
        <f t="shared" si="3"/>
        <v>-</v>
      </c>
      <c r="Q26" s="663"/>
      <c r="R26" s="672" t="str">
        <f t="shared" si="4"/>
        <v>-</v>
      </c>
      <c r="S26" s="673"/>
      <c r="T26" s="663" t="str">
        <f t="shared" si="5"/>
        <v>-</v>
      </c>
      <c r="U26" s="663"/>
      <c r="V26" s="663" t="str">
        <f t="shared" si="6"/>
        <v>-</v>
      </c>
      <c r="W26" s="663"/>
      <c r="X26" s="663" t="str">
        <f t="shared" si="7"/>
        <v>-</v>
      </c>
      <c r="Y26" s="663"/>
      <c r="Z26" s="663">
        <f t="shared" si="8"/>
        <v>2130</v>
      </c>
      <c r="AA26" s="663"/>
      <c r="AB26" s="663" t="str">
        <f t="shared" si="9"/>
        <v>-</v>
      </c>
      <c r="AC26" s="663"/>
      <c r="AD26" s="663" t="str">
        <f t="shared" si="10"/>
        <v>-</v>
      </c>
      <c r="AE26" s="663"/>
      <c r="AF26" s="663">
        <f t="shared" si="11"/>
        <v>2150</v>
      </c>
      <c r="AG26" s="663"/>
      <c r="AH26" s="548">
        <f t="shared" si="12"/>
        <v>2050</v>
      </c>
      <c r="AI26" s="548"/>
      <c r="AJ26" s="149" t="s">
        <v>449</v>
      </c>
      <c r="AK26" s="150">
        <v>2050</v>
      </c>
    </row>
    <row r="27" spans="1:44" s="148" customFormat="1" ht="20.100000000000001" customHeight="1">
      <c r="A27" s="135">
        <f t="shared" si="13"/>
        <v>4</v>
      </c>
      <c r="B27" s="146" t="s">
        <v>877</v>
      </c>
      <c r="C27" s="403" t="s">
        <v>883</v>
      </c>
      <c r="D27" s="147" t="str">
        <f t="shared" si="0"/>
        <v>~220В</v>
      </c>
      <c r="E27" s="545" t="s">
        <v>879</v>
      </c>
      <c r="F27" s="546"/>
      <c r="G27" s="250" t="str">
        <f t="shared" si="1"/>
        <v xml:space="preserve"> </v>
      </c>
      <c r="H27" s="249" t="s">
        <v>880</v>
      </c>
      <c r="I27" s="147">
        <v>2.5</v>
      </c>
      <c r="J27" s="548">
        <f t="shared" si="2"/>
        <v>1000</v>
      </c>
      <c r="K27" s="546"/>
      <c r="L27" s="547"/>
      <c r="M27" s="548">
        <v>0.5</v>
      </c>
      <c r="N27" s="548"/>
      <c r="O27" s="548"/>
      <c r="P27" s="663" t="str">
        <f t="shared" si="3"/>
        <v>-</v>
      </c>
      <c r="Q27" s="663"/>
      <c r="R27" s="672" t="str">
        <f t="shared" si="4"/>
        <v>-</v>
      </c>
      <c r="S27" s="673"/>
      <c r="T27" s="663" t="str">
        <f t="shared" si="5"/>
        <v>-</v>
      </c>
      <c r="U27" s="663"/>
      <c r="V27" s="663">
        <f t="shared" si="6"/>
        <v>1810</v>
      </c>
      <c r="W27" s="663"/>
      <c r="X27" s="663" t="str">
        <f t="shared" si="7"/>
        <v>-</v>
      </c>
      <c r="Y27" s="663"/>
      <c r="Z27" s="663" t="str">
        <f t="shared" si="8"/>
        <v>-</v>
      </c>
      <c r="AA27" s="663"/>
      <c r="AB27" s="663">
        <f t="shared" si="9"/>
        <v>2060</v>
      </c>
      <c r="AC27" s="663"/>
      <c r="AD27" s="663" t="str">
        <f t="shared" si="10"/>
        <v>-</v>
      </c>
      <c r="AE27" s="663"/>
      <c r="AF27" s="663" t="str">
        <f t="shared" si="11"/>
        <v>-</v>
      </c>
      <c r="AG27" s="663"/>
      <c r="AH27" s="548">
        <f t="shared" si="12"/>
        <v>1930</v>
      </c>
      <c r="AI27" s="548"/>
      <c r="AJ27" s="149" t="s">
        <v>448</v>
      </c>
      <c r="AK27" s="150">
        <v>1930</v>
      </c>
    </row>
    <row r="28" spans="1:44" s="148" customFormat="1" ht="20.100000000000001" customHeight="1">
      <c r="A28" s="135">
        <f t="shared" si="13"/>
        <v>5</v>
      </c>
      <c r="B28" s="146" t="s">
        <v>877</v>
      </c>
      <c r="C28" s="403" t="s">
        <v>884</v>
      </c>
      <c r="D28" s="147" t="str">
        <f t="shared" si="0"/>
        <v>~220В</v>
      </c>
      <c r="E28" s="545" t="s">
        <v>879</v>
      </c>
      <c r="F28" s="546"/>
      <c r="G28" s="250" t="str">
        <f t="shared" si="1"/>
        <v xml:space="preserve"> </v>
      </c>
      <c r="H28" s="249" t="s">
        <v>880</v>
      </c>
      <c r="I28" s="147">
        <v>2.5</v>
      </c>
      <c r="J28" s="548">
        <f t="shared" si="2"/>
        <v>1000</v>
      </c>
      <c r="K28" s="546"/>
      <c r="L28" s="547"/>
      <c r="M28" s="548">
        <v>0.5</v>
      </c>
      <c r="N28" s="548"/>
      <c r="O28" s="548"/>
      <c r="P28" s="663" t="str">
        <f t="shared" si="3"/>
        <v>-</v>
      </c>
      <c r="Q28" s="663"/>
      <c r="R28" s="672" t="str">
        <f t="shared" si="4"/>
        <v>-</v>
      </c>
      <c r="S28" s="673"/>
      <c r="T28" s="663" t="str">
        <f t="shared" si="5"/>
        <v>-</v>
      </c>
      <c r="U28" s="663"/>
      <c r="V28" s="663" t="str">
        <f t="shared" si="6"/>
        <v>-</v>
      </c>
      <c r="W28" s="663"/>
      <c r="X28" s="663">
        <f t="shared" si="7"/>
        <v>1820</v>
      </c>
      <c r="Y28" s="663"/>
      <c r="Z28" s="663" t="str">
        <f t="shared" si="8"/>
        <v>-</v>
      </c>
      <c r="AA28" s="663"/>
      <c r="AB28" s="663" t="str">
        <f t="shared" si="9"/>
        <v>-</v>
      </c>
      <c r="AC28" s="663"/>
      <c r="AD28" s="663">
        <f t="shared" si="10"/>
        <v>1940</v>
      </c>
      <c r="AE28" s="663"/>
      <c r="AF28" s="663" t="str">
        <f t="shared" si="11"/>
        <v>-</v>
      </c>
      <c r="AG28" s="663"/>
      <c r="AH28" s="548">
        <f t="shared" si="12"/>
        <v>2000</v>
      </c>
      <c r="AI28" s="548"/>
      <c r="AJ28" s="149" t="s">
        <v>441</v>
      </c>
      <c r="AK28" s="150">
        <v>2000</v>
      </c>
    </row>
    <row r="29" spans="1:44" s="148" customFormat="1" ht="20.100000000000001" customHeight="1">
      <c r="A29" s="135">
        <f t="shared" si="13"/>
        <v>6</v>
      </c>
      <c r="B29" s="146" t="s">
        <v>877</v>
      </c>
      <c r="C29" s="403" t="s">
        <v>885</v>
      </c>
      <c r="D29" s="147" t="str">
        <f t="shared" si="0"/>
        <v>~220В</v>
      </c>
      <c r="E29" s="545" t="s">
        <v>879</v>
      </c>
      <c r="F29" s="546"/>
      <c r="G29" s="250" t="str">
        <f t="shared" si="1"/>
        <v xml:space="preserve"> </v>
      </c>
      <c r="H29" s="249" t="s">
        <v>880</v>
      </c>
      <c r="I29" s="147">
        <v>2.5</v>
      </c>
      <c r="J29" s="548">
        <f t="shared" si="2"/>
        <v>1000</v>
      </c>
      <c r="K29" s="546"/>
      <c r="L29" s="547"/>
      <c r="M29" s="548">
        <v>0.5</v>
      </c>
      <c r="N29" s="548"/>
      <c r="O29" s="548"/>
      <c r="P29" s="663" t="str">
        <f t="shared" si="3"/>
        <v>-</v>
      </c>
      <c r="Q29" s="663"/>
      <c r="R29" s="672" t="str">
        <f t="shared" si="4"/>
        <v>-</v>
      </c>
      <c r="S29" s="673"/>
      <c r="T29" s="663" t="str">
        <f t="shared" si="5"/>
        <v>-</v>
      </c>
      <c r="U29" s="663"/>
      <c r="V29" s="663" t="str">
        <f t="shared" si="6"/>
        <v>-</v>
      </c>
      <c r="W29" s="663"/>
      <c r="X29" s="663" t="str">
        <f t="shared" si="7"/>
        <v>-</v>
      </c>
      <c r="Y29" s="663"/>
      <c r="Z29" s="663">
        <f t="shared" si="8"/>
        <v>2090</v>
      </c>
      <c r="AA29" s="663"/>
      <c r="AB29" s="663" t="str">
        <f t="shared" si="9"/>
        <v>-</v>
      </c>
      <c r="AC29" s="663"/>
      <c r="AD29" s="663" t="str">
        <f t="shared" si="10"/>
        <v>-</v>
      </c>
      <c r="AE29" s="663"/>
      <c r="AF29" s="663">
        <f t="shared" si="11"/>
        <v>2110</v>
      </c>
      <c r="AG29" s="663"/>
      <c r="AH29" s="548">
        <f t="shared" si="12"/>
        <v>2010</v>
      </c>
      <c r="AI29" s="548"/>
      <c r="AJ29" s="149" t="s">
        <v>449</v>
      </c>
      <c r="AK29" s="150">
        <v>2010</v>
      </c>
    </row>
    <row r="30" spans="1:44" s="148" customFormat="1" ht="20.100000000000001" customHeight="1">
      <c r="A30" s="135">
        <f t="shared" si="13"/>
        <v>7</v>
      </c>
      <c r="B30" s="146" t="s">
        <v>877</v>
      </c>
      <c r="C30" s="403" t="s">
        <v>886</v>
      </c>
      <c r="D30" s="147" t="str">
        <f t="shared" si="0"/>
        <v>~220В</v>
      </c>
      <c r="E30" s="545" t="s">
        <v>879</v>
      </c>
      <c r="F30" s="546"/>
      <c r="G30" s="250" t="str">
        <f t="shared" si="1"/>
        <v xml:space="preserve"> </v>
      </c>
      <c r="H30" s="249" t="s">
        <v>880</v>
      </c>
      <c r="I30" s="147">
        <v>2.5</v>
      </c>
      <c r="J30" s="548">
        <f t="shared" si="2"/>
        <v>1000</v>
      </c>
      <c r="K30" s="546"/>
      <c r="L30" s="547"/>
      <c r="M30" s="548">
        <v>0.5</v>
      </c>
      <c r="N30" s="548"/>
      <c r="O30" s="548"/>
      <c r="P30" s="663" t="str">
        <f t="shared" si="3"/>
        <v>-</v>
      </c>
      <c r="Q30" s="663"/>
      <c r="R30" s="672" t="str">
        <f t="shared" si="4"/>
        <v>-</v>
      </c>
      <c r="S30" s="673"/>
      <c r="T30" s="663" t="str">
        <f t="shared" si="5"/>
        <v>-</v>
      </c>
      <c r="U30" s="663"/>
      <c r="V30" s="663">
        <f t="shared" si="6"/>
        <v>1960</v>
      </c>
      <c r="W30" s="663"/>
      <c r="X30" s="663" t="str">
        <f t="shared" si="7"/>
        <v>-</v>
      </c>
      <c r="Y30" s="663"/>
      <c r="Z30" s="663" t="str">
        <f t="shared" si="8"/>
        <v>-</v>
      </c>
      <c r="AA30" s="663"/>
      <c r="AB30" s="663">
        <f t="shared" si="9"/>
        <v>2230</v>
      </c>
      <c r="AC30" s="663"/>
      <c r="AD30" s="663" t="str">
        <f t="shared" si="10"/>
        <v>-</v>
      </c>
      <c r="AE30" s="663"/>
      <c r="AF30" s="663" t="str">
        <f t="shared" si="11"/>
        <v>-</v>
      </c>
      <c r="AG30" s="663"/>
      <c r="AH30" s="548">
        <f t="shared" si="12"/>
        <v>2090</v>
      </c>
      <c r="AI30" s="548"/>
      <c r="AJ30" s="149" t="s">
        <v>448</v>
      </c>
      <c r="AK30" s="150">
        <v>2090</v>
      </c>
    </row>
    <row r="31" spans="1:44" s="148" customFormat="1" ht="20.100000000000001" customHeight="1">
      <c r="A31" s="135">
        <f t="shared" si="13"/>
        <v>8</v>
      </c>
      <c r="B31" s="146" t="s">
        <v>877</v>
      </c>
      <c r="C31" s="403" t="s">
        <v>887</v>
      </c>
      <c r="D31" s="147" t="str">
        <f t="shared" si="0"/>
        <v>~220В</v>
      </c>
      <c r="E31" s="545" t="s">
        <v>879</v>
      </c>
      <c r="F31" s="546"/>
      <c r="G31" s="250" t="str">
        <f t="shared" si="1"/>
        <v xml:space="preserve"> </v>
      </c>
      <c r="H31" s="249" t="s">
        <v>880</v>
      </c>
      <c r="I31" s="147">
        <v>2.5</v>
      </c>
      <c r="J31" s="548">
        <f t="shared" si="2"/>
        <v>1000</v>
      </c>
      <c r="K31" s="546"/>
      <c r="L31" s="547"/>
      <c r="M31" s="548">
        <v>0.5</v>
      </c>
      <c r="N31" s="548"/>
      <c r="O31" s="548"/>
      <c r="P31" s="663" t="str">
        <f t="shared" si="3"/>
        <v>-</v>
      </c>
      <c r="Q31" s="663"/>
      <c r="R31" s="672" t="str">
        <f t="shared" si="4"/>
        <v>-</v>
      </c>
      <c r="S31" s="673"/>
      <c r="T31" s="663" t="str">
        <f t="shared" si="5"/>
        <v>-</v>
      </c>
      <c r="U31" s="663"/>
      <c r="V31" s="663" t="str">
        <f t="shared" si="6"/>
        <v>-</v>
      </c>
      <c r="W31" s="663"/>
      <c r="X31" s="663">
        <f t="shared" si="7"/>
        <v>2020</v>
      </c>
      <c r="Y31" s="663"/>
      <c r="Z31" s="663" t="str">
        <f t="shared" si="8"/>
        <v>-</v>
      </c>
      <c r="AA31" s="663"/>
      <c r="AB31" s="663" t="str">
        <f t="shared" si="9"/>
        <v>-</v>
      </c>
      <c r="AC31" s="663"/>
      <c r="AD31" s="663">
        <f t="shared" si="10"/>
        <v>2160</v>
      </c>
      <c r="AE31" s="663"/>
      <c r="AF31" s="663" t="str">
        <f t="shared" si="11"/>
        <v>-</v>
      </c>
      <c r="AG31" s="663"/>
      <c r="AH31" s="548">
        <f t="shared" si="12"/>
        <v>2230</v>
      </c>
      <c r="AI31" s="548"/>
      <c r="AJ31" s="149" t="s">
        <v>441</v>
      </c>
      <c r="AK31" s="150">
        <v>2230</v>
      </c>
    </row>
    <row r="32" spans="1:44" s="134" customFormat="1" ht="20.100000000000001" customHeight="1">
      <c r="A32" s="73" t="str">
        <f ca="1">'Протокол №505-2'!A25</f>
        <v>ЩО-1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36"/>
      <c r="AK32" s="87"/>
      <c r="AN32" s="35"/>
      <c r="AP32"/>
      <c r="AQ32"/>
    </row>
    <row r="33" spans="1:43" s="148" customFormat="1" ht="20.100000000000001" customHeight="1">
      <c r="A33" s="135">
        <v>9</v>
      </c>
      <c r="B33" s="146" t="s">
        <v>877</v>
      </c>
      <c r="C33" s="403" t="s">
        <v>888</v>
      </c>
      <c r="D33" s="147" t="str">
        <f t="shared" ref="D33:D39" si="14">IF(AJ33="АВС","~380В","~220В")</f>
        <v>~220В</v>
      </c>
      <c r="E33" s="545" t="s">
        <v>879</v>
      </c>
      <c r="F33" s="546"/>
      <c r="G33" s="250" t="str">
        <f t="shared" ref="G33:G39" si="15">IF(OR(E33="ПВС",E33="ПУНП",E33="ПУГНП",E33="ШВВП"),"*"," ")</f>
        <v xml:space="preserve"> </v>
      </c>
      <c r="H33" s="249" t="s">
        <v>880</v>
      </c>
      <c r="I33" s="147">
        <v>1.5</v>
      </c>
      <c r="J33" s="548">
        <f t="shared" ref="J33:J39" si="16">IF(I33&gt;16,2500,1000)</f>
        <v>1000</v>
      </c>
      <c r="K33" s="546"/>
      <c r="L33" s="547"/>
      <c r="M33" s="548">
        <v>0.5</v>
      </c>
      <c r="N33" s="548"/>
      <c r="O33" s="548"/>
      <c r="P33" s="663" t="str">
        <f t="shared" ref="P33:P39" si="17">IF(AJ33="АВС",TRUNC((AK33+AK33*15/100)/10,0)*10,"-")</f>
        <v>-</v>
      </c>
      <c r="Q33" s="663"/>
      <c r="R33" s="672" t="str">
        <f t="shared" ref="R33:R39" si="18">IF(AJ33="АВС",TRUNC((AK33-AK33*10/100)/10,0)*10,"-")</f>
        <v>-</v>
      </c>
      <c r="S33" s="673"/>
      <c r="T33" s="663" t="str">
        <f t="shared" ref="T33:T39" si="19">IF(AJ33="АВС",TRUNC((AK33+AK33*8/100)/10,0)*10,"-")</f>
        <v>-</v>
      </c>
      <c r="U33" s="663"/>
      <c r="V33" s="663">
        <f t="shared" ref="V33:V39" si="20">IF(OR(AJ33="АВС",AJ33="А"),TRUNC((AK33-AK33*6/100)/10,0)*10,"-")</f>
        <v>2260</v>
      </c>
      <c r="W33" s="663"/>
      <c r="X33" s="663" t="str">
        <f t="shared" ref="X33:X39" si="21">IF(OR(AJ33="АВС",AJ33="В"),TRUNC((AK33-AK33*9/100)/10,0)*10,"-")</f>
        <v>-</v>
      </c>
      <c r="Y33" s="663"/>
      <c r="Z33" s="663" t="str">
        <f t="shared" ref="Z33:Z39" si="22">IF(OR(AJ33="АВС",AJ33="С"),TRUNC((AK33+AK33*4/100)/10,0)*10,"-")</f>
        <v>-</v>
      </c>
      <c r="AA33" s="663"/>
      <c r="AB33" s="663">
        <f t="shared" ref="AB33:AB39" si="23">IF(OR(AJ33="АВС",AJ33="А"),TRUNC((AK33+AK33*7/100)/10,0)*10,"-")</f>
        <v>2570</v>
      </c>
      <c r="AC33" s="663"/>
      <c r="AD33" s="663" t="str">
        <f t="shared" ref="AD33:AD39" si="24">IF(OR(AJ33="АВС",AJ33="В"),TRUNC((AK33-AK33*3/100)/10,0)*10,"-")</f>
        <v>-</v>
      </c>
      <c r="AE33" s="663"/>
      <c r="AF33" s="663" t="str">
        <f t="shared" ref="AF33:AF39" si="25">IF(OR(AJ33="АВС",AJ33="С"),TRUNC((AK33+AK33*5/100)/10,0)*10,"-")</f>
        <v>-</v>
      </c>
      <c r="AG33" s="663"/>
      <c r="AH33" s="548">
        <f t="shared" ref="AH33:AH39" si="26">TRUNC(AK33/10,0)*10</f>
        <v>2410</v>
      </c>
      <c r="AI33" s="548"/>
      <c r="AJ33" s="149" t="s">
        <v>448</v>
      </c>
      <c r="AK33" s="150">
        <v>2410</v>
      </c>
    </row>
    <row r="34" spans="1:43" s="148" customFormat="1" ht="20.100000000000001" customHeight="1">
      <c r="A34" s="135">
        <f t="shared" ref="A34:A39" si="27">A33+1</f>
        <v>10</v>
      </c>
      <c r="B34" s="435" t="s">
        <v>889</v>
      </c>
      <c r="C34" s="674" t="s">
        <v>890</v>
      </c>
      <c r="D34" s="435" t="str">
        <f t="shared" si="14"/>
        <v>~220В</v>
      </c>
      <c r="E34" s="545" t="s">
        <v>879</v>
      </c>
      <c r="F34" s="546"/>
      <c r="G34" s="250" t="str">
        <f t="shared" si="15"/>
        <v xml:space="preserve"> </v>
      </c>
      <c r="H34" s="249" t="s">
        <v>880</v>
      </c>
      <c r="I34" s="147">
        <v>1.5</v>
      </c>
      <c r="J34" s="548">
        <f t="shared" si="16"/>
        <v>1000</v>
      </c>
      <c r="K34" s="546"/>
      <c r="L34" s="547"/>
      <c r="M34" s="548">
        <v>0.5</v>
      </c>
      <c r="N34" s="548"/>
      <c r="O34" s="548"/>
      <c r="P34" s="663" t="str">
        <f t="shared" si="17"/>
        <v>-</v>
      </c>
      <c r="Q34" s="663"/>
      <c r="R34" s="672" t="str">
        <f t="shared" si="18"/>
        <v>-</v>
      </c>
      <c r="S34" s="673"/>
      <c r="T34" s="663" t="str">
        <f t="shared" si="19"/>
        <v>-</v>
      </c>
      <c r="U34" s="663"/>
      <c r="V34" s="663" t="str">
        <f t="shared" si="20"/>
        <v>-</v>
      </c>
      <c r="W34" s="663"/>
      <c r="X34" s="663">
        <f t="shared" si="21"/>
        <v>2100</v>
      </c>
      <c r="Y34" s="663"/>
      <c r="Z34" s="663" t="str">
        <f t="shared" si="22"/>
        <v>-</v>
      </c>
      <c r="AA34" s="663"/>
      <c r="AB34" s="663" t="str">
        <f t="shared" si="23"/>
        <v>-</v>
      </c>
      <c r="AC34" s="663"/>
      <c r="AD34" s="663">
        <f t="shared" si="24"/>
        <v>2240</v>
      </c>
      <c r="AE34" s="663"/>
      <c r="AF34" s="663" t="str">
        <f t="shared" si="25"/>
        <v>-</v>
      </c>
      <c r="AG34" s="663"/>
      <c r="AH34" s="548">
        <f t="shared" si="26"/>
        <v>2310</v>
      </c>
      <c r="AI34" s="548"/>
      <c r="AJ34" s="149" t="s">
        <v>441</v>
      </c>
      <c r="AK34" s="150">
        <v>2315</v>
      </c>
    </row>
    <row r="35" spans="1:43" s="148" customFormat="1" ht="20.100000000000001" customHeight="1">
      <c r="A35" s="135">
        <f t="shared" si="27"/>
        <v>11</v>
      </c>
      <c r="B35" s="435" t="s">
        <v>891</v>
      </c>
      <c r="C35" s="675"/>
      <c r="D35" s="435" t="str">
        <f t="shared" si="14"/>
        <v>~220В</v>
      </c>
      <c r="E35" s="545" t="s">
        <v>892</v>
      </c>
      <c r="F35" s="546"/>
      <c r="G35" s="250" t="str">
        <f t="shared" si="15"/>
        <v xml:space="preserve"> </v>
      </c>
      <c r="H35" s="249" t="s">
        <v>880</v>
      </c>
      <c r="I35" s="147">
        <v>1.5</v>
      </c>
      <c r="J35" s="548">
        <f t="shared" si="16"/>
        <v>1000</v>
      </c>
      <c r="K35" s="546"/>
      <c r="L35" s="547"/>
      <c r="M35" s="548">
        <v>0.5</v>
      </c>
      <c r="N35" s="548"/>
      <c r="O35" s="548"/>
      <c r="P35" s="663" t="str">
        <f t="shared" si="17"/>
        <v>-</v>
      </c>
      <c r="Q35" s="663"/>
      <c r="R35" s="672" t="str">
        <f t="shared" si="18"/>
        <v>-</v>
      </c>
      <c r="S35" s="673"/>
      <c r="T35" s="663" t="str">
        <f t="shared" si="19"/>
        <v>-</v>
      </c>
      <c r="U35" s="663"/>
      <c r="V35" s="663" t="str">
        <f t="shared" si="20"/>
        <v>-</v>
      </c>
      <c r="W35" s="663"/>
      <c r="X35" s="663">
        <f t="shared" si="21"/>
        <v>1860</v>
      </c>
      <c r="Y35" s="663"/>
      <c r="Z35" s="663" t="str">
        <f t="shared" si="22"/>
        <v>-</v>
      </c>
      <c r="AA35" s="663"/>
      <c r="AB35" s="663" t="str">
        <f t="shared" si="23"/>
        <v>-</v>
      </c>
      <c r="AC35" s="663"/>
      <c r="AD35" s="663">
        <f t="shared" si="24"/>
        <v>1990</v>
      </c>
      <c r="AE35" s="663"/>
      <c r="AF35" s="663" t="str">
        <f t="shared" si="25"/>
        <v>-</v>
      </c>
      <c r="AG35" s="663"/>
      <c r="AH35" s="548">
        <f t="shared" si="26"/>
        <v>2050</v>
      </c>
      <c r="AI35" s="548"/>
      <c r="AJ35" s="149" t="s">
        <v>441</v>
      </c>
      <c r="AK35" s="150">
        <v>2053</v>
      </c>
    </row>
    <row r="36" spans="1:43" s="148" customFormat="1" ht="20.100000000000001" customHeight="1">
      <c r="A36" s="135">
        <f t="shared" si="27"/>
        <v>12</v>
      </c>
      <c r="B36" s="146" t="s">
        <v>877</v>
      </c>
      <c r="C36" s="403" t="s">
        <v>893</v>
      </c>
      <c r="D36" s="147" t="str">
        <f t="shared" si="14"/>
        <v>~220В</v>
      </c>
      <c r="E36" s="545" t="s">
        <v>879</v>
      </c>
      <c r="F36" s="546"/>
      <c r="G36" s="250" t="str">
        <f t="shared" si="15"/>
        <v xml:space="preserve"> </v>
      </c>
      <c r="H36" s="249" t="s">
        <v>880</v>
      </c>
      <c r="I36" s="147">
        <v>1.5</v>
      </c>
      <c r="J36" s="548">
        <f t="shared" si="16"/>
        <v>1000</v>
      </c>
      <c r="K36" s="546"/>
      <c r="L36" s="547"/>
      <c r="M36" s="548">
        <v>0.5</v>
      </c>
      <c r="N36" s="548"/>
      <c r="O36" s="548"/>
      <c r="P36" s="663" t="str">
        <f t="shared" si="17"/>
        <v>-</v>
      </c>
      <c r="Q36" s="663"/>
      <c r="R36" s="672" t="str">
        <f t="shared" si="18"/>
        <v>-</v>
      </c>
      <c r="S36" s="673"/>
      <c r="T36" s="663" t="str">
        <f t="shared" si="19"/>
        <v>-</v>
      </c>
      <c r="U36" s="663"/>
      <c r="V36" s="663" t="str">
        <f t="shared" si="20"/>
        <v>-</v>
      </c>
      <c r="W36" s="663"/>
      <c r="X36" s="663" t="str">
        <f t="shared" si="21"/>
        <v>-</v>
      </c>
      <c r="Y36" s="663"/>
      <c r="Z36" s="663">
        <f t="shared" si="22"/>
        <v>2360</v>
      </c>
      <c r="AA36" s="663"/>
      <c r="AB36" s="663" t="str">
        <f t="shared" si="23"/>
        <v>-</v>
      </c>
      <c r="AC36" s="663"/>
      <c r="AD36" s="663" t="str">
        <f t="shared" si="24"/>
        <v>-</v>
      </c>
      <c r="AE36" s="663"/>
      <c r="AF36" s="663">
        <f t="shared" si="25"/>
        <v>2380</v>
      </c>
      <c r="AG36" s="663"/>
      <c r="AH36" s="548">
        <f t="shared" si="26"/>
        <v>2270</v>
      </c>
      <c r="AI36" s="548"/>
      <c r="AJ36" s="149" t="s">
        <v>449</v>
      </c>
      <c r="AK36" s="150">
        <v>2275</v>
      </c>
    </row>
    <row r="37" spans="1:43" s="148" customFormat="1" ht="20.100000000000001" customHeight="1">
      <c r="A37" s="135">
        <f t="shared" si="27"/>
        <v>13</v>
      </c>
      <c r="B37" s="146" t="s">
        <v>877</v>
      </c>
      <c r="C37" s="403" t="s">
        <v>894</v>
      </c>
      <c r="D37" s="147" t="str">
        <f t="shared" si="14"/>
        <v>~220В</v>
      </c>
      <c r="E37" s="545" t="s">
        <v>879</v>
      </c>
      <c r="F37" s="546"/>
      <c r="G37" s="250" t="str">
        <f t="shared" si="15"/>
        <v xml:space="preserve"> </v>
      </c>
      <c r="H37" s="249" t="s">
        <v>880</v>
      </c>
      <c r="I37" s="147">
        <v>1.5</v>
      </c>
      <c r="J37" s="548">
        <f t="shared" si="16"/>
        <v>1000</v>
      </c>
      <c r="K37" s="546"/>
      <c r="L37" s="547"/>
      <c r="M37" s="548">
        <v>0.5</v>
      </c>
      <c r="N37" s="548"/>
      <c r="O37" s="548"/>
      <c r="P37" s="663" t="str">
        <f t="shared" si="17"/>
        <v>-</v>
      </c>
      <c r="Q37" s="663"/>
      <c r="R37" s="672" t="str">
        <f t="shared" si="18"/>
        <v>-</v>
      </c>
      <c r="S37" s="673"/>
      <c r="T37" s="663" t="str">
        <f t="shared" si="19"/>
        <v>-</v>
      </c>
      <c r="U37" s="663"/>
      <c r="V37" s="663">
        <f t="shared" si="20"/>
        <v>1830</v>
      </c>
      <c r="W37" s="663"/>
      <c r="X37" s="663" t="str">
        <f t="shared" si="21"/>
        <v>-</v>
      </c>
      <c r="Y37" s="663"/>
      <c r="Z37" s="663" t="str">
        <f t="shared" si="22"/>
        <v>-</v>
      </c>
      <c r="AA37" s="663"/>
      <c r="AB37" s="663">
        <f t="shared" si="23"/>
        <v>2080</v>
      </c>
      <c r="AC37" s="663"/>
      <c r="AD37" s="663" t="str">
        <f t="shared" si="24"/>
        <v>-</v>
      </c>
      <c r="AE37" s="663"/>
      <c r="AF37" s="663" t="str">
        <f t="shared" si="25"/>
        <v>-</v>
      </c>
      <c r="AG37" s="663"/>
      <c r="AH37" s="548">
        <f t="shared" si="26"/>
        <v>1950</v>
      </c>
      <c r="AI37" s="548"/>
      <c r="AJ37" s="149" t="s">
        <v>448</v>
      </c>
      <c r="AK37" s="150">
        <v>1950</v>
      </c>
    </row>
    <row r="38" spans="1:43" s="148" customFormat="1" ht="20.100000000000001" customHeight="1">
      <c r="A38" s="135">
        <f t="shared" si="27"/>
        <v>14</v>
      </c>
      <c r="B38" s="146" t="s">
        <v>877</v>
      </c>
      <c r="C38" s="403" t="s">
        <v>895</v>
      </c>
      <c r="D38" s="147" t="str">
        <f t="shared" si="14"/>
        <v>~220В</v>
      </c>
      <c r="E38" s="545" t="s">
        <v>879</v>
      </c>
      <c r="F38" s="546"/>
      <c r="G38" s="250" t="str">
        <f t="shared" si="15"/>
        <v xml:space="preserve"> </v>
      </c>
      <c r="H38" s="249" t="s">
        <v>880</v>
      </c>
      <c r="I38" s="147">
        <v>1.5</v>
      </c>
      <c r="J38" s="548">
        <f t="shared" si="16"/>
        <v>1000</v>
      </c>
      <c r="K38" s="546"/>
      <c r="L38" s="547"/>
      <c r="M38" s="548">
        <v>0.5</v>
      </c>
      <c r="N38" s="548"/>
      <c r="O38" s="548"/>
      <c r="P38" s="663" t="str">
        <f t="shared" si="17"/>
        <v>-</v>
      </c>
      <c r="Q38" s="663"/>
      <c r="R38" s="672" t="str">
        <f t="shared" si="18"/>
        <v>-</v>
      </c>
      <c r="S38" s="673"/>
      <c r="T38" s="663" t="str">
        <f t="shared" si="19"/>
        <v>-</v>
      </c>
      <c r="U38" s="663"/>
      <c r="V38" s="663" t="str">
        <f t="shared" si="20"/>
        <v>-</v>
      </c>
      <c r="W38" s="663"/>
      <c r="X38" s="663">
        <f t="shared" si="21"/>
        <v>1810</v>
      </c>
      <c r="Y38" s="663"/>
      <c r="Z38" s="663" t="str">
        <f t="shared" si="22"/>
        <v>-</v>
      </c>
      <c r="AA38" s="663"/>
      <c r="AB38" s="663" t="str">
        <f t="shared" si="23"/>
        <v>-</v>
      </c>
      <c r="AC38" s="663"/>
      <c r="AD38" s="663">
        <f t="shared" si="24"/>
        <v>1930</v>
      </c>
      <c r="AE38" s="663"/>
      <c r="AF38" s="663" t="str">
        <f t="shared" si="25"/>
        <v>-</v>
      </c>
      <c r="AG38" s="663"/>
      <c r="AH38" s="548">
        <f t="shared" si="26"/>
        <v>1990</v>
      </c>
      <c r="AI38" s="548"/>
      <c r="AJ38" s="149" t="s">
        <v>441</v>
      </c>
      <c r="AK38" s="150">
        <v>1990</v>
      </c>
    </row>
    <row r="39" spans="1:43" s="148" customFormat="1" ht="20.100000000000001" customHeight="1">
      <c r="A39" s="135">
        <f t="shared" si="27"/>
        <v>15</v>
      </c>
      <c r="B39" s="146" t="s">
        <v>877</v>
      </c>
      <c r="C39" s="403" t="s">
        <v>896</v>
      </c>
      <c r="D39" s="147" t="str">
        <f t="shared" si="14"/>
        <v>~220В</v>
      </c>
      <c r="E39" s="545" t="s">
        <v>879</v>
      </c>
      <c r="F39" s="546"/>
      <c r="G39" s="250" t="str">
        <f t="shared" si="15"/>
        <v xml:space="preserve"> </v>
      </c>
      <c r="H39" s="249" t="s">
        <v>880</v>
      </c>
      <c r="I39" s="147">
        <v>1.5</v>
      </c>
      <c r="J39" s="548">
        <f t="shared" si="16"/>
        <v>1000</v>
      </c>
      <c r="K39" s="546"/>
      <c r="L39" s="547"/>
      <c r="M39" s="548">
        <v>0.5</v>
      </c>
      <c r="N39" s="548"/>
      <c r="O39" s="548"/>
      <c r="P39" s="663" t="str">
        <f t="shared" si="17"/>
        <v>-</v>
      </c>
      <c r="Q39" s="663"/>
      <c r="R39" s="672" t="str">
        <f t="shared" si="18"/>
        <v>-</v>
      </c>
      <c r="S39" s="673"/>
      <c r="T39" s="663" t="str">
        <f t="shared" si="19"/>
        <v>-</v>
      </c>
      <c r="U39" s="663"/>
      <c r="V39" s="663" t="str">
        <f t="shared" si="20"/>
        <v>-</v>
      </c>
      <c r="W39" s="663"/>
      <c r="X39" s="663" t="str">
        <f t="shared" si="21"/>
        <v>-</v>
      </c>
      <c r="Y39" s="663"/>
      <c r="Z39" s="663">
        <f t="shared" si="22"/>
        <v>2080</v>
      </c>
      <c r="AA39" s="663"/>
      <c r="AB39" s="663" t="str">
        <f t="shared" si="23"/>
        <v>-</v>
      </c>
      <c r="AC39" s="663"/>
      <c r="AD39" s="663" t="str">
        <f t="shared" si="24"/>
        <v>-</v>
      </c>
      <c r="AE39" s="663"/>
      <c r="AF39" s="663">
        <f t="shared" si="25"/>
        <v>2100</v>
      </c>
      <c r="AG39" s="663"/>
      <c r="AH39" s="548">
        <f t="shared" si="26"/>
        <v>2000</v>
      </c>
      <c r="AI39" s="548"/>
      <c r="AJ39" s="149" t="s">
        <v>449</v>
      </c>
      <c r="AK39" s="150">
        <v>2003</v>
      </c>
    </row>
    <row r="40" spans="1:43" s="134" customFormat="1" ht="20.100000000000001" customHeight="1">
      <c r="A40" s="73" t="str">
        <f ca="1">'Протокол №505-2'!A29</f>
        <v>пом. №214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  <c r="AJ40" s="136"/>
      <c r="AK40" s="87"/>
      <c r="AN40" s="35"/>
      <c r="AP40"/>
      <c r="AQ40"/>
    </row>
    <row r="41" spans="1:43" s="134" customFormat="1" ht="20.100000000000001" customHeight="1">
      <c r="A41" s="73" t="str">
        <f ca="1">'Протокол №505-2'!A33</f>
        <v>ЩС-2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136"/>
      <c r="AK41" s="87"/>
      <c r="AN41" s="35"/>
      <c r="AP41"/>
      <c r="AQ41"/>
    </row>
    <row r="42" spans="1:43" s="148" customFormat="1" ht="20.100000000000001" customHeight="1">
      <c r="A42" s="135">
        <v>16</v>
      </c>
      <c r="B42" s="146" t="s">
        <v>877</v>
      </c>
      <c r="C42" s="403" t="s">
        <v>878</v>
      </c>
      <c r="D42" s="147" t="str">
        <f t="shared" ref="D42:D51" si="28">IF(AJ42="АВС","~380В","~220В")</f>
        <v>~220В</v>
      </c>
      <c r="E42" s="545" t="s">
        <v>879</v>
      </c>
      <c r="F42" s="546"/>
      <c r="G42" s="250" t="str">
        <f t="shared" ref="G42:G51" si="29">IF(OR(E42="ПВС",E42="ПУНП",E42="ПУГНП",E42="ШВВП"),"*"," ")</f>
        <v xml:space="preserve"> </v>
      </c>
      <c r="H42" s="249" t="s">
        <v>880</v>
      </c>
      <c r="I42" s="147">
        <v>2.5</v>
      </c>
      <c r="J42" s="548">
        <f t="shared" ref="J42:J51" si="30">IF(I42&gt;16,2500,1000)</f>
        <v>1000</v>
      </c>
      <c r="K42" s="546"/>
      <c r="L42" s="547"/>
      <c r="M42" s="548">
        <v>0.5</v>
      </c>
      <c r="N42" s="548"/>
      <c r="O42" s="548"/>
      <c r="P42" s="663" t="str">
        <f t="shared" ref="P42:P51" si="31">IF(AJ42="АВС",TRUNC((AK42+AK42*15/100)/10,0)*10,"-")</f>
        <v>-</v>
      </c>
      <c r="Q42" s="663"/>
      <c r="R42" s="672" t="str">
        <f t="shared" ref="R42:R51" si="32">IF(AJ42="АВС",TRUNC((AK42-AK42*10/100)/10,0)*10,"-")</f>
        <v>-</v>
      </c>
      <c r="S42" s="673"/>
      <c r="T42" s="663" t="str">
        <f t="shared" ref="T42:T51" si="33">IF(AJ42="АВС",TRUNC((AK42+AK42*8/100)/10,0)*10,"-")</f>
        <v>-</v>
      </c>
      <c r="U42" s="663"/>
      <c r="V42" s="663">
        <f t="shared" ref="V42:V51" si="34">IF(OR(AJ42="АВС",AJ42="А"),TRUNC((AK42-AK42*6/100)/10,0)*10,"-")</f>
        <v>1700</v>
      </c>
      <c r="W42" s="663"/>
      <c r="X42" s="663" t="str">
        <f t="shared" ref="X42:X51" si="35">IF(OR(AJ42="АВС",AJ42="В"),TRUNC((AK42-AK42*9/100)/10,0)*10,"-")</f>
        <v>-</v>
      </c>
      <c r="Y42" s="663"/>
      <c r="Z42" s="663" t="str">
        <f t="shared" ref="Z42:Z51" si="36">IF(OR(AJ42="АВС",AJ42="С"),TRUNC((AK42+AK42*4/100)/10,0)*10,"-")</f>
        <v>-</v>
      </c>
      <c r="AA42" s="663"/>
      <c r="AB42" s="663">
        <f t="shared" ref="AB42:AB51" si="37">IF(OR(AJ42="АВС",AJ42="А"),TRUNC((AK42+AK42*7/100)/10,0)*10,"-")</f>
        <v>1930</v>
      </c>
      <c r="AC42" s="663"/>
      <c r="AD42" s="663" t="str">
        <f t="shared" ref="AD42:AD51" si="38">IF(OR(AJ42="АВС",AJ42="В"),TRUNC((AK42-AK42*3/100)/10,0)*10,"-")</f>
        <v>-</v>
      </c>
      <c r="AE42" s="663"/>
      <c r="AF42" s="663" t="str">
        <f t="shared" ref="AF42:AF51" si="39">IF(OR(AJ42="АВС",AJ42="С"),TRUNC((AK42+AK42*5/100)/10,0)*10,"-")</f>
        <v>-</v>
      </c>
      <c r="AG42" s="663"/>
      <c r="AH42" s="548">
        <f t="shared" ref="AH42:AH51" si="40">TRUNC(AK42/10,0)*10</f>
        <v>1810</v>
      </c>
      <c r="AI42" s="548"/>
      <c r="AJ42" s="149" t="s">
        <v>448</v>
      </c>
      <c r="AK42" s="150">
        <v>1810</v>
      </c>
    </row>
    <row r="43" spans="1:43" s="148" customFormat="1" ht="20.100000000000001" customHeight="1">
      <c r="A43" s="135">
        <f t="shared" ref="A43:A51" si="41">A42+1</f>
        <v>17</v>
      </c>
      <c r="B43" s="146" t="s">
        <v>877</v>
      </c>
      <c r="C43" s="403" t="s">
        <v>881</v>
      </c>
      <c r="D43" s="147" t="str">
        <f t="shared" si="28"/>
        <v>~220В</v>
      </c>
      <c r="E43" s="545" t="s">
        <v>879</v>
      </c>
      <c r="F43" s="546"/>
      <c r="G43" s="250" t="str">
        <f t="shared" si="29"/>
        <v xml:space="preserve"> </v>
      </c>
      <c r="H43" s="249" t="s">
        <v>880</v>
      </c>
      <c r="I43" s="147">
        <v>2.5</v>
      </c>
      <c r="J43" s="548">
        <f t="shared" si="30"/>
        <v>1000</v>
      </c>
      <c r="K43" s="546"/>
      <c r="L43" s="547"/>
      <c r="M43" s="548">
        <v>0.5</v>
      </c>
      <c r="N43" s="548"/>
      <c r="O43" s="548"/>
      <c r="P43" s="663" t="str">
        <f t="shared" si="31"/>
        <v>-</v>
      </c>
      <c r="Q43" s="663"/>
      <c r="R43" s="672" t="str">
        <f t="shared" si="32"/>
        <v>-</v>
      </c>
      <c r="S43" s="673"/>
      <c r="T43" s="663" t="str">
        <f t="shared" si="33"/>
        <v>-</v>
      </c>
      <c r="U43" s="663"/>
      <c r="V43" s="663" t="str">
        <f t="shared" si="34"/>
        <v>-</v>
      </c>
      <c r="W43" s="663"/>
      <c r="X43" s="663">
        <f t="shared" si="35"/>
        <v>2140</v>
      </c>
      <c r="Y43" s="663"/>
      <c r="Z43" s="663" t="str">
        <f t="shared" si="36"/>
        <v>-</v>
      </c>
      <c r="AA43" s="663"/>
      <c r="AB43" s="663" t="str">
        <f t="shared" si="37"/>
        <v>-</v>
      </c>
      <c r="AC43" s="663"/>
      <c r="AD43" s="663">
        <f t="shared" si="38"/>
        <v>2280</v>
      </c>
      <c r="AE43" s="663"/>
      <c r="AF43" s="663" t="str">
        <f t="shared" si="39"/>
        <v>-</v>
      </c>
      <c r="AG43" s="663"/>
      <c r="AH43" s="548">
        <f t="shared" si="40"/>
        <v>2350</v>
      </c>
      <c r="AI43" s="548"/>
      <c r="AJ43" s="149" t="s">
        <v>441</v>
      </c>
      <c r="AK43" s="150">
        <v>2357</v>
      </c>
    </row>
    <row r="44" spans="1:43" s="148" customFormat="1" ht="20.100000000000001" customHeight="1">
      <c r="A44" s="135">
        <f t="shared" si="41"/>
        <v>18</v>
      </c>
      <c r="B44" s="146" t="s">
        <v>877</v>
      </c>
      <c r="C44" s="403" t="s">
        <v>888</v>
      </c>
      <c r="D44" s="147" t="str">
        <f t="shared" si="28"/>
        <v>~220В</v>
      </c>
      <c r="E44" s="545" t="s">
        <v>879</v>
      </c>
      <c r="F44" s="546"/>
      <c r="G44" s="250" t="str">
        <f t="shared" si="29"/>
        <v xml:space="preserve"> </v>
      </c>
      <c r="H44" s="249" t="s">
        <v>880</v>
      </c>
      <c r="I44" s="147">
        <v>2.5</v>
      </c>
      <c r="J44" s="548">
        <f t="shared" si="30"/>
        <v>1000</v>
      </c>
      <c r="K44" s="546"/>
      <c r="L44" s="547"/>
      <c r="M44" s="548">
        <v>0.5</v>
      </c>
      <c r="N44" s="548"/>
      <c r="O44" s="548"/>
      <c r="P44" s="663" t="str">
        <f t="shared" si="31"/>
        <v>-</v>
      </c>
      <c r="Q44" s="663"/>
      <c r="R44" s="672" t="str">
        <f t="shared" si="32"/>
        <v>-</v>
      </c>
      <c r="S44" s="673"/>
      <c r="T44" s="663" t="str">
        <f t="shared" si="33"/>
        <v>-</v>
      </c>
      <c r="U44" s="663"/>
      <c r="V44" s="663">
        <f t="shared" si="34"/>
        <v>1920</v>
      </c>
      <c r="W44" s="663"/>
      <c r="X44" s="663" t="str">
        <f t="shared" si="35"/>
        <v>-</v>
      </c>
      <c r="Y44" s="663"/>
      <c r="Z44" s="663" t="str">
        <f t="shared" si="36"/>
        <v>-</v>
      </c>
      <c r="AA44" s="663"/>
      <c r="AB44" s="663">
        <f t="shared" si="37"/>
        <v>2180</v>
      </c>
      <c r="AC44" s="663"/>
      <c r="AD44" s="663" t="str">
        <f t="shared" si="38"/>
        <v>-</v>
      </c>
      <c r="AE44" s="663"/>
      <c r="AF44" s="663" t="str">
        <f t="shared" si="39"/>
        <v>-</v>
      </c>
      <c r="AG44" s="663"/>
      <c r="AH44" s="548">
        <f t="shared" si="40"/>
        <v>2040</v>
      </c>
      <c r="AI44" s="548"/>
      <c r="AJ44" s="149" t="s">
        <v>448</v>
      </c>
      <c r="AK44" s="150">
        <v>2045</v>
      </c>
    </row>
    <row r="45" spans="1:43" s="148" customFormat="1" ht="20.100000000000001" customHeight="1">
      <c r="A45" s="135">
        <f t="shared" si="41"/>
        <v>19</v>
      </c>
      <c r="B45" s="146" t="s">
        <v>877</v>
      </c>
      <c r="C45" s="403" t="s">
        <v>890</v>
      </c>
      <c r="D45" s="147" t="str">
        <f t="shared" si="28"/>
        <v>~220В</v>
      </c>
      <c r="E45" s="545" t="s">
        <v>879</v>
      </c>
      <c r="F45" s="546"/>
      <c r="G45" s="250" t="str">
        <f t="shared" si="29"/>
        <v xml:space="preserve"> </v>
      </c>
      <c r="H45" s="249" t="s">
        <v>880</v>
      </c>
      <c r="I45" s="147">
        <v>2.5</v>
      </c>
      <c r="J45" s="548">
        <f t="shared" si="30"/>
        <v>1000</v>
      </c>
      <c r="K45" s="546"/>
      <c r="L45" s="547"/>
      <c r="M45" s="548">
        <v>0.5</v>
      </c>
      <c r="N45" s="548"/>
      <c r="O45" s="548"/>
      <c r="P45" s="663" t="str">
        <f t="shared" si="31"/>
        <v>-</v>
      </c>
      <c r="Q45" s="663"/>
      <c r="R45" s="672" t="str">
        <f t="shared" si="32"/>
        <v>-</v>
      </c>
      <c r="S45" s="673"/>
      <c r="T45" s="663" t="str">
        <f t="shared" si="33"/>
        <v>-</v>
      </c>
      <c r="U45" s="663"/>
      <c r="V45" s="663" t="str">
        <f t="shared" si="34"/>
        <v>-</v>
      </c>
      <c r="W45" s="663"/>
      <c r="X45" s="663">
        <f t="shared" si="35"/>
        <v>2220</v>
      </c>
      <c r="Y45" s="663"/>
      <c r="Z45" s="663" t="str">
        <f t="shared" si="36"/>
        <v>-</v>
      </c>
      <c r="AA45" s="663"/>
      <c r="AB45" s="663" t="str">
        <f t="shared" si="37"/>
        <v>-</v>
      </c>
      <c r="AC45" s="663"/>
      <c r="AD45" s="663">
        <f t="shared" si="38"/>
        <v>2370</v>
      </c>
      <c r="AE45" s="663"/>
      <c r="AF45" s="663" t="str">
        <f t="shared" si="39"/>
        <v>-</v>
      </c>
      <c r="AG45" s="663"/>
      <c r="AH45" s="548">
        <f t="shared" si="40"/>
        <v>2450</v>
      </c>
      <c r="AI45" s="548"/>
      <c r="AJ45" s="149" t="s">
        <v>441</v>
      </c>
      <c r="AK45" s="150">
        <v>2450</v>
      </c>
    </row>
    <row r="46" spans="1:43" s="148" customFormat="1" ht="20.100000000000001" customHeight="1">
      <c r="A46" s="135">
        <f t="shared" si="41"/>
        <v>20</v>
      </c>
      <c r="B46" s="146" t="s">
        <v>877</v>
      </c>
      <c r="C46" s="403" t="s">
        <v>893</v>
      </c>
      <c r="D46" s="147" t="str">
        <f t="shared" si="28"/>
        <v>~220В</v>
      </c>
      <c r="E46" s="545" t="s">
        <v>879</v>
      </c>
      <c r="F46" s="546"/>
      <c r="G46" s="250" t="str">
        <f t="shared" si="29"/>
        <v xml:space="preserve"> </v>
      </c>
      <c r="H46" s="249" t="s">
        <v>880</v>
      </c>
      <c r="I46" s="147">
        <v>2.5</v>
      </c>
      <c r="J46" s="548">
        <f t="shared" si="30"/>
        <v>1000</v>
      </c>
      <c r="K46" s="546"/>
      <c r="L46" s="547"/>
      <c r="M46" s="548">
        <v>0.5</v>
      </c>
      <c r="N46" s="548"/>
      <c r="O46" s="548"/>
      <c r="P46" s="663" t="str">
        <f t="shared" si="31"/>
        <v>-</v>
      </c>
      <c r="Q46" s="663"/>
      <c r="R46" s="672" t="str">
        <f t="shared" si="32"/>
        <v>-</v>
      </c>
      <c r="S46" s="673"/>
      <c r="T46" s="663" t="str">
        <f t="shared" si="33"/>
        <v>-</v>
      </c>
      <c r="U46" s="663"/>
      <c r="V46" s="663" t="str">
        <f t="shared" si="34"/>
        <v>-</v>
      </c>
      <c r="W46" s="663"/>
      <c r="X46" s="663" t="str">
        <f t="shared" si="35"/>
        <v>-</v>
      </c>
      <c r="Y46" s="663"/>
      <c r="Z46" s="663">
        <f t="shared" si="36"/>
        <v>2160</v>
      </c>
      <c r="AA46" s="663"/>
      <c r="AB46" s="663" t="str">
        <f t="shared" si="37"/>
        <v>-</v>
      </c>
      <c r="AC46" s="663"/>
      <c r="AD46" s="663" t="str">
        <f t="shared" si="38"/>
        <v>-</v>
      </c>
      <c r="AE46" s="663"/>
      <c r="AF46" s="663">
        <f t="shared" si="39"/>
        <v>2180</v>
      </c>
      <c r="AG46" s="663"/>
      <c r="AH46" s="548">
        <f t="shared" si="40"/>
        <v>2080</v>
      </c>
      <c r="AI46" s="548"/>
      <c r="AJ46" s="149" t="s">
        <v>449</v>
      </c>
      <c r="AK46" s="150">
        <v>2080</v>
      </c>
    </row>
    <row r="47" spans="1:43" s="148" customFormat="1" ht="20.100000000000001" customHeight="1">
      <c r="A47" s="135">
        <f t="shared" si="41"/>
        <v>21</v>
      </c>
      <c r="B47" s="146" t="s">
        <v>877</v>
      </c>
      <c r="C47" s="403" t="s">
        <v>894</v>
      </c>
      <c r="D47" s="147" t="str">
        <f t="shared" si="28"/>
        <v>~220В</v>
      </c>
      <c r="E47" s="545" t="s">
        <v>879</v>
      </c>
      <c r="F47" s="546"/>
      <c r="G47" s="250" t="str">
        <f t="shared" si="29"/>
        <v xml:space="preserve"> </v>
      </c>
      <c r="H47" s="249" t="s">
        <v>880</v>
      </c>
      <c r="I47" s="147">
        <v>2.5</v>
      </c>
      <c r="J47" s="548">
        <f t="shared" si="30"/>
        <v>1000</v>
      </c>
      <c r="K47" s="546"/>
      <c r="L47" s="547"/>
      <c r="M47" s="548">
        <v>0.5</v>
      </c>
      <c r="N47" s="548"/>
      <c r="O47" s="548"/>
      <c r="P47" s="663" t="str">
        <f t="shared" si="31"/>
        <v>-</v>
      </c>
      <c r="Q47" s="663"/>
      <c r="R47" s="672" t="str">
        <f t="shared" si="32"/>
        <v>-</v>
      </c>
      <c r="S47" s="673"/>
      <c r="T47" s="663" t="str">
        <f t="shared" si="33"/>
        <v>-</v>
      </c>
      <c r="U47" s="663"/>
      <c r="V47" s="663">
        <f t="shared" si="34"/>
        <v>1840</v>
      </c>
      <c r="W47" s="663"/>
      <c r="X47" s="663" t="str">
        <f t="shared" si="35"/>
        <v>-</v>
      </c>
      <c r="Y47" s="663"/>
      <c r="Z47" s="663" t="str">
        <f t="shared" si="36"/>
        <v>-</v>
      </c>
      <c r="AA47" s="663"/>
      <c r="AB47" s="663">
        <f t="shared" si="37"/>
        <v>2090</v>
      </c>
      <c r="AC47" s="663"/>
      <c r="AD47" s="663" t="str">
        <f t="shared" si="38"/>
        <v>-</v>
      </c>
      <c r="AE47" s="663"/>
      <c r="AF47" s="663" t="str">
        <f t="shared" si="39"/>
        <v>-</v>
      </c>
      <c r="AG47" s="663"/>
      <c r="AH47" s="548">
        <f t="shared" si="40"/>
        <v>1950</v>
      </c>
      <c r="AI47" s="548"/>
      <c r="AJ47" s="149" t="s">
        <v>448</v>
      </c>
      <c r="AK47" s="150">
        <v>1958</v>
      </c>
    </row>
    <row r="48" spans="1:43" s="148" customFormat="1" ht="20.100000000000001" customHeight="1">
      <c r="A48" s="135">
        <f t="shared" si="41"/>
        <v>22</v>
      </c>
      <c r="B48" s="146" t="s">
        <v>877</v>
      </c>
      <c r="C48" s="403" t="s">
        <v>895</v>
      </c>
      <c r="D48" s="147" t="str">
        <f t="shared" si="28"/>
        <v>~220В</v>
      </c>
      <c r="E48" s="545" t="s">
        <v>879</v>
      </c>
      <c r="F48" s="546"/>
      <c r="G48" s="250" t="str">
        <f t="shared" si="29"/>
        <v xml:space="preserve"> </v>
      </c>
      <c r="H48" s="249" t="s">
        <v>880</v>
      </c>
      <c r="I48" s="147">
        <v>2.5</v>
      </c>
      <c r="J48" s="548">
        <f t="shared" si="30"/>
        <v>1000</v>
      </c>
      <c r="K48" s="546"/>
      <c r="L48" s="547"/>
      <c r="M48" s="548">
        <v>0.5</v>
      </c>
      <c r="N48" s="548"/>
      <c r="O48" s="548"/>
      <c r="P48" s="663" t="str">
        <f t="shared" si="31"/>
        <v>-</v>
      </c>
      <c r="Q48" s="663"/>
      <c r="R48" s="672" t="str">
        <f t="shared" si="32"/>
        <v>-</v>
      </c>
      <c r="S48" s="673"/>
      <c r="T48" s="663" t="str">
        <f t="shared" si="33"/>
        <v>-</v>
      </c>
      <c r="U48" s="663"/>
      <c r="V48" s="663" t="str">
        <f t="shared" si="34"/>
        <v>-</v>
      </c>
      <c r="W48" s="663"/>
      <c r="X48" s="663">
        <f t="shared" si="35"/>
        <v>2020</v>
      </c>
      <c r="Y48" s="663"/>
      <c r="Z48" s="663" t="str">
        <f t="shared" si="36"/>
        <v>-</v>
      </c>
      <c r="AA48" s="663"/>
      <c r="AB48" s="663" t="str">
        <f t="shared" si="37"/>
        <v>-</v>
      </c>
      <c r="AC48" s="663"/>
      <c r="AD48" s="663">
        <f t="shared" si="38"/>
        <v>2150</v>
      </c>
      <c r="AE48" s="663"/>
      <c r="AF48" s="663" t="str">
        <f t="shared" si="39"/>
        <v>-</v>
      </c>
      <c r="AG48" s="663"/>
      <c r="AH48" s="548">
        <f t="shared" si="40"/>
        <v>2220</v>
      </c>
      <c r="AI48" s="548"/>
      <c r="AJ48" s="149" t="s">
        <v>441</v>
      </c>
      <c r="AK48" s="150">
        <v>2222</v>
      </c>
    </row>
    <row r="49" spans="1:43" s="148" customFormat="1" ht="20.100000000000001" customHeight="1">
      <c r="A49" s="135">
        <f t="shared" si="41"/>
        <v>23</v>
      </c>
      <c r="B49" s="146" t="s">
        <v>877</v>
      </c>
      <c r="C49" s="403" t="s">
        <v>896</v>
      </c>
      <c r="D49" s="147" t="str">
        <f t="shared" si="28"/>
        <v>~220В</v>
      </c>
      <c r="E49" s="545" t="s">
        <v>879</v>
      </c>
      <c r="F49" s="546"/>
      <c r="G49" s="250" t="str">
        <f t="shared" si="29"/>
        <v xml:space="preserve"> </v>
      </c>
      <c r="H49" s="249" t="s">
        <v>880</v>
      </c>
      <c r="I49" s="147">
        <v>2.5</v>
      </c>
      <c r="J49" s="548">
        <f t="shared" si="30"/>
        <v>1000</v>
      </c>
      <c r="K49" s="546"/>
      <c r="L49" s="547"/>
      <c r="M49" s="548">
        <v>0.5</v>
      </c>
      <c r="N49" s="548"/>
      <c r="O49" s="548"/>
      <c r="P49" s="663" t="str">
        <f t="shared" si="31"/>
        <v>-</v>
      </c>
      <c r="Q49" s="663"/>
      <c r="R49" s="672" t="str">
        <f t="shared" si="32"/>
        <v>-</v>
      </c>
      <c r="S49" s="673"/>
      <c r="T49" s="663" t="str">
        <f t="shared" si="33"/>
        <v>-</v>
      </c>
      <c r="U49" s="663"/>
      <c r="V49" s="663" t="str">
        <f t="shared" si="34"/>
        <v>-</v>
      </c>
      <c r="W49" s="663"/>
      <c r="X49" s="663" t="str">
        <f t="shared" si="35"/>
        <v>-</v>
      </c>
      <c r="Y49" s="663"/>
      <c r="Z49" s="663">
        <f t="shared" si="36"/>
        <v>2270</v>
      </c>
      <c r="AA49" s="663"/>
      <c r="AB49" s="663" t="str">
        <f t="shared" si="37"/>
        <v>-</v>
      </c>
      <c r="AC49" s="663"/>
      <c r="AD49" s="663" t="str">
        <f t="shared" si="38"/>
        <v>-</v>
      </c>
      <c r="AE49" s="663"/>
      <c r="AF49" s="663">
        <f t="shared" si="39"/>
        <v>2290</v>
      </c>
      <c r="AG49" s="663"/>
      <c r="AH49" s="548">
        <f t="shared" si="40"/>
        <v>2190</v>
      </c>
      <c r="AI49" s="548"/>
      <c r="AJ49" s="149" t="s">
        <v>449</v>
      </c>
      <c r="AK49" s="150">
        <v>2190</v>
      </c>
    </row>
    <row r="50" spans="1:43" s="148" customFormat="1" ht="20.100000000000001" customHeight="1">
      <c r="A50" s="135">
        <f t="shared" si="41"/>
        <v>24</v>
      </c>
      <c r="B50" s="146" t="s">
        <v>877</v>
      </c>
      <c r="C50" s="403" t="s">
        <v>897</v>
      </c>
      <c r="D50" s="147" t="str">
        <f t="shared" si="28"/>
        <v>~220В</v>
      </c>
      <c r="E50" s="545" t="s">
        <v>879</v>
      </c>
      <c r="F50" s="546"/>
      <c r="G50" s="250" t="str">
        <f t="shared" si="29"/>
        <v xml:space="preserve"> </v>
      </c>
      <c r="H50" s="249" t="s">
        <v>880</v>
      </c>
      <c r="I50" s="147">
        <v>2.5</v>
      </c>
      <c r="J50" s="548">
        <f t="shared" si="30"/>
        <v>1000</v>
      </c>
      <c r="K50" s="546"/>
      <c r="L50" s="547"/>
      <c r="M50" s="548">
        <v>0.5</v>
      </c>
      <c r="N50" s="548"/>
      <c r="O50" s="548"/>
      <c r="P50" s="663" t="str">
        <f t="shared" si="31"/>
        <v>-</v>
      </c>
      <c r="Q50" s="663"/>
      <c r="R50" s="672" t="str">
        <f t="shared" si="32"/>
        <v>-</v>
      </c>
      <c r="S50" s="673"/>
      <c r="T50" s="663" t="str">
        <f t="shared" si="33"/>
        <v>-</v>
      </c>
      <c r="U50" s="663"/>
      <c r="V50" s="663">
        <f t="shared" si="34"/>
        <v>2470</v>
      </c>
      <c r="W50" s="663"/>
      <c r="X50" s="663" t="str">
        <f t="shared" si="35"/>
        <v>-</v>
      </c>
      <c r="Y50" s="663"/>
      <c r="Z50" s="663" t="str">
        <f t="shared" si="36"/>
        <v>-</v>
      </c>
      <c r="AA50" s="663"/>
      <c r="AB50" s="663">
        <f t="shared" si="37"/>
        <v>2810</v>
      </c>
      <c r="AC50" s="663"/>
      <c r="AD50" s="663" t="str">
        <f t="shared" si="38"/>
        <v>-</v>
      </c>
      <c r="AE50" s="663"/>
      <c r="AF50" s="663" t="str">
        <f t="shared" si="39"/>
        <v>-</v>
      </c>
      <c r="AG50" s="663"/>
      <c r="AH50" s="548">
        <f t="shared" si="40"/>
        <v>2630</v>
      </c>
      <c r="AI50" s="548"/>
      <c r="AJ50" s="149" t="s">
        <v>448</v>
      </c>
      <c r="AK50" s="150">
        <v>2630</v>
      </c>
    </row>
    <row r="51" spans="1:43" s="148" customFormat="1" ht="20.100000000000001" customHeight="1">
      <c r="A51" s="135">
        <f t="shared" si="41"/>
        <v>25</v>
      </c>
      <c r="B51" s="146" t="s">
        <v>877</v>
      </c>
      <c r="C51" s="403" t="s">
        <v>898</v>
      </c>
      <c r="D51" s="147" t="str">
        <f t="shared" si="28"/>
        <v>~220В</v>
      </c>
      <c r="E51" s="545" t="s">
        <v>879</v>
      </c>
      <c r="F51" s="546"/>
      <c r="G51" s="250" t="str">
        <f t="shared" si="29"/>
        <v xml:space="preserve"> </v>
      </c>
      <c r="H51" s="249" t="s">
        <v>880</v>
      </c>
      <c r="I51" s="147">
        <v>2.5</v>
      </c>
      <c r="J51" s="548">
        <f t="shared" si="30"/>
        <v>1000</v>
      </c>
      <c r="K51" s="546"/>
      <c r="L51" s="547"/>
      <c r="M51" s="548">
        <v>0.5</v>
      </c>
      <c r="N51" s="548"/>
      <c r="O51" s="548"/>
      <c r="P51" s="663" t="str">
        <f t="shared" si="31"/>
        <v>-</v>
      </c>
      <c r="Q51" s="663"/>
      <c r="R51" s="672" t="str">
        <f t="shared" si="32"/>
        <v>-</v>
      </c>
      <c r="S51" s="673"/>
      <c r="T51" s="663" t="str">
        <f t="shared" si="33"/>
        <v>-</v>
      </c>
      <c r="U51" s="663"/>
      <c r="V51" s="663" t="str">
        <f t="shared" si="34"/>
        <v>-</v>
      </c>
      <c r="W51" s="663"/>
      <c r="X51" s="663">
        <f t="shared" si="35"/>
        <v>1620</v>
      </c>
      <c r="Y51" s="663"/>
      <c r="Z51" s="663" t="str">
        <f t="shared" si="36"/>
        <v>-</v>
      </c>
      <c r="AA51" s="663"/>
      <c r="AB51" s="663" t="str">
        <f t="shared" si="37"/>
        <v>-</v>
      </c>
      <c r="AC51" s="663"/>
      <c r="AD51" s="663">
        <f t="shared" si="38"/>
        <v>1730</v>
      </c>
      <c r="AE51" s="663"/>
      <c r="AF51" s="663" t="str">
        <f t="shared" si="39"/>
        <v>-</v>
      </c>
      <c r="AG51" s="663"/>
      <c r="AH51" s="548">
        <f t="shared" si="40"/>
        <v>1780</v>
      </c>
      <c r="AI51" s="548"/>
      <c r="AJ51" s="149" t="s">
        <v>441</v>
      </c>
      <c r="AK51" s="150">
        <v>1789</v>
      </c>
    </row>
    <row r="52" spans="1:43" s="134" customFormat="1" ht="20.100000000000001" customHeight="1">
      <c r="A52" s="73" t="str">
        <f ca="1">'Протокол №505-2'!A38</f>
        <v>ЩО-2</v>
      </c>
      <c r="B52" s="433"/>
      <c r="C52" s="433"/>
      <c r="D52" s="43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5"/>
      <c r="AJ52" s="136"/>
      <c r="AK52" s="87"/>
      <c r="AN52" s="35"/>
      <c r="AP52"/>
      <c r="AQ52"/>
    </row>
    <row r="53" spans="1:43" s="148" customFormat="1" ht="20.100000000000001" customHeight="1">
      <c r="A53" s="135">
        <v>26</v>
      </c>
      <c r="B53" s="146" t="s">
        <v>877</v>
      </c>
      <c r="C53" s="403" t="s">
        <v>888</v>
      </c>
      <c r="D53" s="147" t="str">
        <f>IF(AJ53="АВС","~380В","~220В")</f>
        <v>~220В</v>
      </c>
      <c r="E53" s="545" t="s">
        <v>892</v>
      </c>
      <c r="F53" s="546"/>
      <c r="G53" s="250" t="str">
        <f>IF(OR(E53="ПВС",E53="ПУНП",E53="ПУГНП",E53="ШВВП"),"*"," ")</f>
        <v xml:space="preserve"> </v>
      </c>
      <c r="H53" s="249" t="s">
        <v>880</v>
      </c>
      <c r="I53" s="147">
        <v>1.5</v>
      </c>
      <c r="J53" s="548">
        <f>IF(I53&gt;16,2500,1000)</f>
        <v>1000</v>
      </c>
      <c r="K53" s="546"/>
      <c r="L53" s="547"/>
      <c r="M53" s="548">
        <v>0.5</v>
      </c>
      <c r="N53" s="548"/>
      <c r="O53" s="548"/>
      <c r="P53" s="663" t="str">
        <f>IF(AJ53="АВС",TRUNC((AK53+AK53*15/100)/10,0)*10,"-")</f>
        <v>-</v>
      </c>
      <c r="Q53" s="663"/>
      <c r="R53" s="672" t="str">
        <f>IF(AJ53="АВС",TRUNC((AK53-AK53*10/100)/10,0)*10,"-")</f>
        <v>-</v>
      </c>
      <c r="S53" s="673"/>
      <c r="T53" s="663" t="str">
        <f>IF(AJ53="АВС",TRUNC((AK53+AK53*8/100)/10,0)*10,"-")</f>
        <v>-</v>
      </c>
      <c r="U53" s="663"/>
      <c r="V53" s="663">
        <f>IF(OR(AJ53="АВС",AJ53="А"),TRUNC((AK53-AK53*6/100)/10,0)*10,"-")</f>
        <v>1880</v>
      </c>
      <c r="W53" s="663"/>
      <c r="X53" s="663" t="str">
        <f>IF(OR(AJ53="АВС",AJ53="В"),TRUNC((AK53-AK53*9/100)/10,0)*10,"-")</f>
        <v>-</v>
      </c>
      <c r="Y53" s="663"/>
      <c r="Z53" s="663" t="str">
        <f>IF(OR(AJ53="АВС",AJ53="С"),TRUNC((AK53+AK53*4/100)/10,0)*10,"-")</f>
        <v>-</v>
      </c>
      <c r="AA53" s="663"/>
      <c r="AB53" s="663">
        <f>IF(OR(AJ53="АВС",AJ53="А"),TRUNC((AK53+AK53*7/100)/10,0)*10,"-")</f>
        <v>2150</v>
      </c>
      <c r="AC53" s="663"/>
      <c r="AD53" s="663" t="str">
        <f>IF(OR(AJ53="АВС",AJ53="В"),TRUNC((AK53-AK53*3/100)/10,0)*10,"-")</f>
        <v>-</v>
      </c>
      <c r="AE53" s="663"/>
      <c r="AF53" s="663" t="str">
        <f>IF(OR(AJ53="АВС",AJ53="С"),TRUNC((AK53+AK53*5/100)/10,0)*10,"-")</f>
        <v>-</v>
      </c>
      <c r="AG53" s="663"/>
      <c r="AH53" s="548">
        <f>TRUNC(AK53/10,0)*10</f>
        <v>2010</v>
      </c>
      <c r="AI53" s="548"/>
      <c r="AJ53" s="149" t="s">
        <v>448</v>
      </c>
      <c r="AK53" s="150">
        <v>2010</v>
      </c>
    </row>
    <row r="54" spans="1:43" s="148" customFormat="1" ht="20.100000000000001" customHeight="1">
      <c r="A54" s="135">
        <f>A53+1</f>
        <v>27</v>
      </c>
      <c r="B54" s="430" t="s">
        <v>877</v>
      </c>
      <c r="C54" s="431" t="s">
        <v>890</v>
      </c>
      <c r="D54" s="432" t="str">
        <f>IF(AJ54="АВС","~380В","~220В")</f>
        <v>~220В</v>
      </c>
      <c r="E54" s="545" t="s">
        <v>879</v>
      </c>
      <c r="F54" s="546"/>
      <c r="G54" s="250" t="str">
        <f>IF(OR(E54="ПВС",E54="ПУНП",E54="ПУГНП",E54="ШВВП"),"*"," ")</f>
        <v xml:space="preserve"> </v>
      </c>
      <c r="H54" s="249" t="s">
        <v>880</v>
      </c>
      <c r="I54" s="147">
        <v>1.5</v>
      </c>
      <c r="J54" s="548">
        <f>IF(I54&gt;16,2500,1000)</f>
        <v>1000</v>
      </c>
      <c r="K54" s="546"/>
      <c r="L54" s="547"/>
      <c r="M54" s="548">
        <v>0.5</v>
      </c>
      <c r="N54" s="548"/>
      <c r="O54" s="548"/>
      <c r="P54" s="663" t="str">
        <f>IF(AJ54="АВС",TRUNC((AK54+AK54*15/100)/10,0)*10,"-")</f>
        <v>-</v>
      </c>
      <c r="Q54" s="663"/>
      <c r="R54" s="672" t="str">
        <f>IF(AJ54="АВС",TRUNC((AK54-AK54*10/100)/10,0)*10,"-")</f>
        <v>-</v>
      </c>
      <c r="S54" s="673"/>
      <c r="T54" s="663" t="str">
        <f>IF(AJ54="АВС",TRUNC((AK54+AK54*8/100)/10,0)*10,"-")</f>
        <v>-</v>
      </c>
      <c r="U54" s="663"/>
      <c r="V54" s="663" t="str">
        <f>IF(OR(AJ54="АВС",AJ54="А"),TRUNC((AK54-AK54*6/100)/10,0)*10,"-")</f>
        <v>-</v>
      </c>
      <c r="W54" s="663"/>
      <c r="X54" s="663">
        <f>IF(OR(AJ54="АВС",AJ54="В"),TRUNC((AK54-AK54*9/100)/10,0)*10,"-")</f>
        <v>1430</v>
      </c>
      <c r="Y54" s="663"/>
      <c r="Z54" s="663" t="str">
        <f>IF(OR(AJ54="АВС",AJ54="С"),TRUNC((AK54+AK54*4/100)/10,0)*10,"-")</f>
        <v>-</v>
      </c>
      <c r="AA54" s="663"/>
      <c r="AB54" s="663" t="str">
        <f>IF(OR(AJ54="АВС",AJ54="А"),TRUNC((AK54+AK54*7/100)/10,0)*10,"-")</f>
        <v>-</v>
      </c>
      <c r="AC54" s="663"/>
      <c r="AD54" s="663">
        <f>IF(OR(AJ54="АВС",AJ54="В"),TRUNC((AK54-AK54*3/100)/10,0)*10,"-")</f>
        <v>1530</v>
      </c>
      <c r="AE54" s="663"/>
      <c r="AF54" s="663" t="str">
        <f>IF(OR(AJ54="АВС",AJ54="С"),TRUNC((AK54+AK54*5/100)/10,0)*10,"-")</f>
        <v>-</v>
      </c>
      <c r="AG54" s="663"/>
      <c r="AH54" s="548">
        <f>TRUNC(AK54/10,0)*10</f>
        <v>1580</v>
      </c>
      <c r="AI54" s="548"/>
      <c r="AJ54" s="149" t="s">
        <v>441</v>
      </c>
      <c r="AK54" s="150">
        <v>1580</v>
      </c>
    </row>
    <row r="55" spans="1:43" s="148" customFormat="1" ht="20.100000000000001" customHeight="1">
      <c r="A55" s="135">
        <f>A54+1</f>
        <v>28</v>
      </c>
      <c r="B55" s="146" t="s">
        <v>877</v>
      </c>
      <c r="C55" s="403" t="s">
        <v>893</v>
      </c>
      <c r="D55" s="147" t="str">
        <f>IF(AJ55="АВС","~380В","~220В")</f>
        <v>~220В</v>
      </c>
      <c r="E55" s="545" t="s">
        <v>879</v>
      </c>
      <c r="F55" s="546"/>
      <c r="G55" s="250" t="str">
        <f>IF(OR(E55="ПВС",E55="ПУНП",E55="ПУГНП",E55="ШВВП"),"*"," ")</f>
        <v xml:space="preserve"> </v>
      </c>
      <c r="H55" s="249" t="s">
        <v>880</v>
      </c>
      <c r="I55" s="147">
        <v>1.5</v>
      </c>
      <c r="J55" s="548">
        <f>IF(I55&gt;16,2500,1000)</f>
        <v>1000</v>
      </c>
      <c r="K55" s="546"/>
      <c r="L55" s="547"/>
      <c r="M55" s="548">
        <v>0.5</v>
      </c>
      <c r="N55" s="548"/>
      <c r="O55" s="548"/>
      <c r="P55" s="663" t="str">
        <f>IF(AJ55="АВС",TRUNC((AK55+AK55*15/100)/10,0)*10,"-")</f>
        <v>-</v>
      </c>
      <c r="Q55" s="663"/>
      <c r="R55" s="672" t="str">
        <f>IF(AJ55="АВС",TRUNC((AK55-AK55*10/100)/10,0)*10,"-")</f>
        <v>-</v>
      </c>
      <c r="S55" s="673"/>
      <c r="T55" s="663" t="str">
        <f>IF(AJ55="АВС",TRUNC((AK55+AK55*8/100)/10,0)*10,"-")</f>
        <v>-</v>
      </c>
      <c r="U55" s="663"/>
      <c r="V55" s="663" t="str">
        <f>IF(OR(AJ55="АВС",AJ55="А"),TRUNC((AK55-AK55*6/100)/10,0)*10,"-")</f>
        <v>-</v>
      </c>
      <c r="W55" s="663"/>
      <c r="X55" s="663" t="str">
        <f>IF(OR(AJ55="АВС",AJ55="В"),TRUNC((AK55-AK55*9/100)/10,0)*10,"-")</f>
        <v>-</v>
      </c>
      <c r="Y55" s="663"/>
      <c r="Z55" s="663">
        <f>IF(OR(AJ55="АВС",AJ55="С"),TRUNC((AK55+AK55*4/100)/10,0)*10,"-")</f>
        <v>2070</v>
      </c>
      <c r="AA55" s="663"/>
      <c r="AB55" s="663" t="str">
        <f>IF(OR(AJ55="АВС",AJ55="А"),TRUNC((AK55+AK55*7/100)/10,0)*10,"-")</f>
        <v>-</v>
      </c>
      <c r="AC55" s="663"/>
      <c r="AD55" s="663" t="str">
        <f>IF(OR(AJ55="АВС",AJ55="В"),TRUNC((AK55-AK55*3/100)/10,0)*10,"-")</f>
        <v>-</v>
      </c>
      <c r="AE55" s="663"/>
      <c r="AF55" s="663">
        <f>IF(OR(AJ55="АВС",AJ55="С"),TRUNC((AK55+AK55*5/100)/10,0)*10,"-")</f>
        <v>2090</v>
      </c>
      <c r="AG55" s="663"/>
      <c r="AH55" s="548">
        <f>TRUNC(AK55/10,0)*10</f>
        <v>1990</v>
      </c>
      <c r="AI55" s="548"/>
      <c r="AJ55" s="149" t="s">
        <v>449</v>
      </c>
      <c r="AK55" s="150">
        <v>1999</v>
      </c>
    </row>
    <row r="56" spans="1:43" s="148" customFormat="1" ht="20.100000000000001" customHeight="1">
      <c r="A56" s="135">
        <f>A55+1</f>
        <v>29</v>
      </c>
      <c r="B56" s="146" t="s">
        <v>877</v>
      </c>
      <c r="C56" s="403" t="s">
        <v>894</v>
      </c>
      <c r="D56" s="147" t="str">
        <f>IF(AJ56="АВС","~380В","~220В")</f>
        <v>~220В</v>
      </c>
      <c r="E56" s="545" t="s">
        <v>879</v>
      </c>
      <c r="F56" s="546"/>
      <c r="G56" s="250" t="str">
        <f>IF(OR(E56="ПВС",E56="ПУНП",E56="ПУГНП",E56="ШВВП"),"*"," ")</f>
        <v xml:space="preserve"> </v>
      </c>
      <c r="H56" s="249" t="s">
        <v>880</v>
      </c>
      <c r="I56" s="147">
        <v>1.5</v>
      </c>
      <c r="J56" s="548">
        <f>IF(I56&gt;16,2500,1000)</f>
        <v>1000</v>
      </c>
      <c r="K56" s="546"/>
      <c r="L56" s="547"/>
      <c r="M56" s="548">
        <v>0.5</v>
      </c>
      <c r="N56" s="548"/>
      <c r="O56" s="548"/>
      <c r="P56" s="663" t="str">
        <f>IF(AJ56="АВС",TRUNC((AK56+AK56*15/100)/10,0)*10,"-")</f>
        <v>-</v>
      </c>
      <c r="Q56" s="663"/>
      <c r="R56" s="672" t="str">
        <f>IF(AJ56="АВС",TRUNC((AK56-AK56*10/100)/10,0)*10,"-")</f>
        <v>-</v>
      </c>
      <c r="S56" s="673"/>
      <c r="T56" s="663" t="str">
        <f>IF(AJ56="АВС",TRUNC((AK56+AK56*8/100)/10,0)*10,"-")</f>
        <v>-</v>
      </c>
      <c r="U56" s="663"/>
      <c r="V56" s="663">
        <f>IF(OR(AJ56="АВС",AJ56="А"),TRUNC((AK56-AK56*6/100)/10,0)*10,"-")</f>
        <v>2000</v>
      </c>
      <c r="W56" s="663"/>
      <c r="X56" s="663" t="str">
        <f>IF(OR(AJ56="АВС",AJ56="В"),TRUNC((AK56-AK56*9/100)/10,0)*10,"-")</f>
        <v>-</v>
      </c>
      <c r="Y56" s="663"/>
      <c r="Z56" s="663" t="str">
        <f>IF(OR(AJ56="АВС",AJ56="С"),TRUNC((AK56+AK56*4/100)/10,0)*10,"-")</f>
        <v>-</v>
      </c>
      <c r="AA56" s="663"/>
      <c r="AB56" s="663">
        <f>IF(OR(AJ56="АВС",AJ56="А"),TRUNC((AK56+AK56*7/100)/10,0)*10,"-")</f>
        <v>2280</v>
      </c>
      <c r="AC56" s="663"/>
      <c r="AD56" s="663" t="str">
        <f>IF(OR(AJ56="АВС",AJ56="В"),TRUNC((AK56-AK56*3/100)/10,0)*10,"-")</f>
        <v>-</v>
      </c>
      <c r="AE56" s="663"/>
      <c r="AF56" s="663" t="str">
        <f>IF(OR(AJ56="АВС",AJ56="С"),TRUNC((AK56+AK56*5/100)/10,0)*10,"-")</f>
        <v>-</v>
      </c>
      <c r="AG56" s="663"/>
      <c r="AH56" s="548">
        <f>TRUNC(AK56/10,0)*10</f>
        <v>2130</v>
      </c>
      <c r="AI56" s="548"/>
      <c r="AJ56" s="149" t="s">
        <v>448</v>
      </c>
      <c r="AK56" s="150">
        <v>2135</v>
      </c>
    </row>
    <row r="57" spans="1:43" s="148" customFormat="1" ht="20.100000000000001" customHeight="1">
      <c r="A57" s="135">
        <f>A56+1</f>
        <v>30</v>
      </c>
      <c r="B57" s="146" t="s">
        <v>877</v>
      </c>
      <c r="C57" s="403" t="s">
        <v>895</v>
      </c>
      <c r="D57" s="147" t="str">
        <f>IF(AJ57="АВС","~380В","~220В")</f>
        <v>~220В</v>
      </c>
      <c r="E57" s="545" t="s">
        <v>879</v>
      </c>
      <c r="F57" s="546"/>
      <c r="G57" s="250" t="str">
        <f>IF(OR(E57="ПВС",E57="ПУНП",E57="ПУГНП",E57="ШВВП"),"*"," ")</f>
        <v xml:space="preserve"> </v>
      </c>
      <c r="H57" s="249" t="s">
        <v>880</v>
      </c>
      <c r="I57" s="147">
        <v>1.5</v>
      </c>
      <c r="J57" s="548">
        <f>IF(I57&gt;16,2500,1000)</f>
        <v>1000</v>
      </c>
      <c r="K57" s="546"/>
      <c r="L57" s="547"/>
      <c r="M57" s="548">
        <v>0.5</v>
      </c>
      <c r="N57" s="548"/>
      <c r="O57" s="548"/>
      <c r="P57" s="663" t="str">
        <f>IF(AJ57="АВС",TRUNC((AK57+AK57*15/100)/10,0)*10,"-")</f>
        <v>-</v>
      </c>
      <c r="Q57" s="663"/>
      <c r="R57" s="672" t="str">
        <f>IF(AJ57="АВС",TRUNC((AK57-AK57*10/100)/10,0)*10,"-")</f>
        <v>-</v>
      </c>
      <c r="S57" s="673"/>
      <c r="T57" s="663" t="str">
        <f>IF(AJ57="АВС",TRUNC((AK57+AK57*8/100)/10,0)*10,"-")</f>
        <v>-</v>
      </c>
      <c r="U57" s="663"/>
      <c r="V57" s="663" t="str">
        <f>IF(OR(AJ57="АВС",AJ57="А"),TRUNC((AK57-AK57*6/100)/10,0)*10,"-")</f>
        <v>-</v>
      </c>
      <c r="W57" s="663"/>
      <c r="X57" s="663">
        <f>IF(OR(AJ57="АВС",AJ57="В"),TRUNC((AK57-AK57*9/100)/10,0)*10,"-")</f>
        <v>2090</v>
      </c>
      <c r="Y57" s="663"/>
      <c r="Z57" s="663" t="str">
        <f>IF(OR(AJ57="АВС",AJ57="С"),TRUNC((AK57+AK57*4/100)/10,0)*10,"-")</f>
        <v>-</v>
      </c>
      <c r="AA57" s="663"/>
      <c r="AB57" s="663" t="str">
        <f>IF(OR(AJ57="АВС",AJ57="А"),TRUNC((AK57+AK57*7/100)/10,0)*10,"-")</f>
        <v>-</v>
      </c>
      <c r="AC57" s="663"/>
      <c r="AD57" s="663">
        <f>IF(OR(AJ57="АВС",AJ57="В"),TRUNC((AK57-AK57*3/100)/10,0)*10,"-")</f>
        <v>2230</v>
      </c>
      <c r="AE57" s="663"/>
      <c r="AF57" s="663" t="str">
        <f>IF(OR(AJ57="АВС",AJ57="С"),TRUNC((AK57+AK57*5/100)/10,0)*10,"-")</f>
        <v>-</v>
      </c>
      <c r="AG57" s="663"/>
      <c r="AH57" s="548">
        <f>TRUNC(AK57/10,0)*10</f>
        <v>2300</v>
      </c>
      <c r="AI57" s="548"/>
      <c r="AJ57" s="149" t="s">
        <v>441</v>
      </c>
      <c r="AK57" s="150">
        <v>2300</v>
      </c>
    </row>
    <row r="58" spans="1:43" s="134" customFormat="1" ht="20.100000000000001" customHeight="1">
      <c r="A58" s="73" t="str">
        <f ca="1">'Протокол №505-2'!A42</f>
        <v>пом. №101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5"/>
      <c r="AJ58" s="136"/>
      <c r="AK58" s="87"/>
      <c r="AN58" s="35"/>
      <c r="AP58"/>
      <c r="AQ58"/>
    </row>
    <row r="59" spans="1:43" s="134" customFormat="1" ht="20.100000000000001" customHeight="1">
      <c r="A59" s="73" t="str">
        <f ca="1">'Протокол №505-2'!A50</f>
        <v>ВРЩ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5"/>
      <c r="AJ59" s="136"/>
      <c r="AK59" s="87"/>
      <c r="AN59" s="35"/>
      <c r="AP59"/>
      <c r="AQ59"/>
    </row>
    <row r="60" spans="1:43" s="148" customFormat="1" ht="20.100000000000001" customHeight="1">
      <c r="A60" s="135">
        <v>31</v>
      </c>
      <c r="B60" s="146" t="s">
        <v>877</v>
      </c>
      <c r="C60" s="403" t="s">
        <v>888</v>
      </c>
      <c r="D60" s="147" t="str">
        <f t="shared" ref="D60:D69" si="42">IF(AJ60="АВС","~380В","~220В")</f>
        <v>~380В</v>
      </c>
      <c r="E60" s="545" t="s">
        <v>879</v>
      </c>
      <c r="F60" s="546"/>
      <c r="G60" s="250" t="str">
        <f t="shared" ref="G60:G69" si="43">IF(OR(E60="ПВС",E60="ПУНП",E60="ПУГНП",E60="ШВВП"),"*"," ")</f>
        <v xml:space="preserve"> </v>
      </c>
      <c r="H60" s="249" t="s">
        <v>899</v>
      </c>
      <c r="I60" s="147">
        <v>6</v>
      </c>
      <c r="J60" s="548">
        <f t="shared" ref="J60:J69" si="44">IF(I60&gt;16,2500,1000)</f>
        <v>1000</v>
      </c>
      <c r="K60" s="546"/>
      <c r="L60" s="547"/>
      <c r="M60" s="548">
        <v>0.5</v>
      </c>
      <c r="N60" s="548"/>
      <c r="O60" s="548"/>
      <c r="P60" s="663">
        <f t="shared" ref="P60:P69" si="45">IF(AJ60="АВС",TRUNC((AK60+AK60*15/100)/10,0)*10,"-")</f>
        <v>3010</v>
      </c>
      <c r="Q60" s="663"/>
      <c r="R60" s="672">
        <f t="shared" ref="R60:R69" si="46">IF(AJ60="АВС",TRUNC((AK60-AK60*10/100)/10,0)*10,"-")</f>
        <v>2350</v>
      </c>
      <c r="S60" s="673"/>
      <c r="T60" s="663">
        <f t="shared" ref="T60:T69" si="47">IF(AJ60="АВС",TRUNC((AK60+AK60*8/100)/10,0)*10,"-")</f>
        <v>2820</v>
      </c>
      <c r="U60" s="663"/>
      <c r="V60" s="663">
        <f t="shared" ref="V60:V69" si="48">IF(OR(AJ60="АВС",AJ60="А"),TRUNC((AK60-AK60*6/100)/10,0)*10,"-")</f>
        <v>2460</v>
      </c>
      <c r="W60" s="663"/>
      <c r="X60" s="663">
        <f t="shared" ref="X60:X69" si="49">IF(OR(AJ60="АВС",AJ60="В"),TRUNC((AK60-AK60*9/100)/10,0)*10,"-")</f>
        <v>2380</v>
      </c>
      <c r="Y60" s="663"/>
      <c r="Z60" s="663">
        <f t="shared" ref="Z60:Z69" si="50">IF(OR(AJ60="АВС",AJ60="С"),TRUNC((AK60+AK60*4/100)/10,0)*10,"-")</f>
        <v>2720</v>
      </c>
      <c r="AA60" s="663"/>
      <c r="AB60" s="663">
        <f t="shared" ref="AB60:AB69" si="51">IF(OR(AJ60="АВС",AJ60="А"),TRUNC((AK60+AK60*7/100)/10,0)*10,"-")</f>
        <v>2800</v>
      </c>
      <c r="AC60" s="663"/>
      <c r="AD60" s="663">
        <f t="shared" ref="AD60:AD69" si="52">IF(OR(AJ60="АВС",AJ60="В"),TRUNC((AK60-AK60*3/100)/10,0)*10,"-")</f>
        <v>2540</v>
      </c>
      <c r="AE60" s="663"/>
      <c r="AF60" s="663">
        <f t="shared" ref="AF60:AF69" si="53">IF(OR(AJ60="АВС",AJ60="С"),TRUNC((AK60+AK60*5/100)/10,0)*10,"-")</f>
        <v>2750</v>
      </c>
      <c r="AG60" s="663"/>
      <c r="AH60" s="548">
        <f t="shared" ref="AH60:AH69" si="54">TRUNC(AK60/10,0)*10</f>
        <v>2620</v>
      </c>
      <c r="AI60" s="548"/>
      <c r="AJ60" s="149" t="s">
        <v>440</v>
      </c>
      <c r="AK60" s="150">
        <v>2620</v>
      </c>
    </row>
    <row r="61" spans="1:43" s="148" customFormat="1" ht="20.100000000000001" customHeight="1">
      <c r="A61" s="135">
        <f t="shared" ref="A61:A69" si="55">A60+1</f>
        <v>32</v>
      </c>
      <c r="B61" s="146" t="s">
        <v>877</v>
      </c>
      <c r="C61" s="403" t="s">
        <v>890</v>
      </c>
      <c r="D61" s="147" t="str">
        <f t="shared" si="42"/>
        <v>~380В</v>
      </c>
      <c r="E61" s="545" t="s">
        <v>879</v>
      </c>
      <c r="F61" s="546"/>
      <c r="G61" s="250" t="str">
        <f t="shared" si="43"/>
        <v xml:space="preserve"> </v>
      </c>
      <c r="H61" s="249" t="s">
        <v>899</v>
      </c>
      <c r="I61" s="147">
        <v>25</v>
      </c>
      <c r="J61" s="548">
        <f t="shared" si="44"/>
        <v>2500</v>
      </c>
      <c r="K61" s="546"/>
      <c r="L61" s="547"/>
      <c r="M61" s="548">
        <v>0.5</v>
      </c>
      <c r="N61" s="548"/>
      <c r="O61" s="548"/>
      <c r="P61" s="663">
        <f t="shared" si="45"/>
        <v>3260</v>
      </c>
      <c r="Q61" s="663"/>
      <c r="R61" s="672">
        <f t="shared" si="46"/>
        <v>2550</v>
      </c>
      <c r="S61" s="673"/>
      <c r="T61" s="663">
        <f t="shared" si="47"/>
        <v>3060</v>
      </c>
      <c r="U61" s="663"/>
      <c r="V61" s="663">
        <f t="shared" si="48"/>
        <v>2660</v>
      </c>
      <c r="W61" s="663"/>
      <c r="X61" s="663">
        <f t="shared" si="49"/>
        <v>2580</v>
      </c>
      <c r="Y61" s="663"/>
      <c r="Z61" s="663">
        <f t="shared" si="50"/>
        <v>2950</v>
      </c>
      <c r="AA61" s="663"/>
      <c r="AB61" s="663">
        <f t="shared" si="51"/>
        <v>3030</v>
      </c>
      <c r="AC61" s="663"/>
      <c r="AD61" s="663">
        <f t="shared" si="52"/>
        <v>2750</v>
      </c>
      <c r="AE61" s="663"/>
      <c r="AF61" s="663">
        <f t="shared" si="53"/>
        <v>2980</v>
      </c>
      <c r="AG61" s="663"/>
      <c r="AH61" s="548">
        <f t="shared" si="54"/>
        <v>2840</v>
      </c>
      <c r="AI61" s="548"/>
      <c r="AJ61" s="149" t="s">
        <v>440</v>
      </c>
      <c r="AK61" s="150">
        <v>2840</v>
      </c>
    </row>
    <row r="62" spans="1:43" s="148" customFormat="1" ht="20.100000000000001" customHeight="1">
      <c r="A62" s="135">
        <f t="shared" si="55"/>
        <v>33</v>
      </c>
      <c r="B62" s="146" t="s">
        <v>877</v>
      </c>
      <c r="C62" s="403" t="s">
        <v>893</v>
      </c>
      <c r="D62" s="147" t="str">
        <f t="shared" si="42"/>
        <v>~380В</v>
      </c>
      <c r="E62" s="545" t="s">
        <v>879</v>
      </c>
      <c r="F62" s="546"/>
      <c r="G62" s="250" t="str">
        <f t="shared" si="43"/>
        <v xml:space="preserve"> </v>
      </c>
      <c r="H62" s="249" t="s">
        <v>899</v>
      </c>
      <c r="I62" s="147">
        <v>10</v>
      </c>
      <c r="J62" s="548">
        <f t="shared" si="44"/>
        <v>1000</v>
      </c>
      <c r="K62" s="546"/>
      <c r="L62" s="547"/>
      <c r="M62" s="548">
        <v>0.5</v>
      </c>
      <c r="N62" s="548"/>
      <c r="O62" s="548"/>
      <c r="P62" s="663">
        <f t="shared" si="45"/>
        <v>3100</v>
      </c>
      <c r="Q62" s="663"/>
      <c r="R62" s="672">
        <f t="shared" si="46"/>
        <v>2430</v>
      </c>
      <c r="S62" s="673"/>
      <c r="T62" s="663">
        <f t="shared" si="47"/>
        <v>2910</v>
      </c>
      <c r="U62" s="663"/>
      <c r="V62" s="663">
        <f t="shared" si="48"/>
        <v>2530</v>
      </c>
      <c r="W62" s="663"/>
      <c r="X62" s="663">
        <f t="shared" si="49"/>
        <v>2450</v>
      </c>
      <c r="Y62" s="663"/>
      <c r="Z62" s="663">
        <f t="shared" si="50"/>
        <v>2800</v>
      </c>
      <c r="AA62" s="663"/>
      <c r="AB62" s="663">
        <f t="shared" si="51"/>
        <v>2880</v>
      </c>
      <c r="AC62" s="663"/>
      <c r="AD62" s="663">
        <f t="shared" si="52"/>
        <v>2610</v>
      </c>
      <c r="AE62" s="663"/>
      <c r="AF62" s="663">
        <f t="shared" si="53"/>
        <v>2830</v>
      </c>
      <c r="AG62" s="663"/>
      <c r="AH62" s="548">
        <f t="shared" si="54"/>
        <v>2700</v>
      </c>
      <c r="AI62" s="548"/>
      <c r="AJ62" s="149" t="s">
        <v>440</v>
      </c>
      <c r="AK62" s="150">
        <v>2700</v>
      </c>
    </row>
    <row r="63" spans="1:43" s="148" customFormat="1" ht="20.100000000000001" customHeight="1">
      <c r="A63" s="135">
        <f t="shared" si="55"/>
        <v>34</v>
      </c>
      <c r="B63" s="146" t="s">
        <v>877</v>
      </c>
      <c r="C63" s="403" t="s">
        <v>894</v>
      </c>
      <c r="D63" s="147" t="str">
        <f t="shared" si="42"/>
        <v>~380В</v>
      </c>
      <c r="E63" s="545" t="s">
        <v>879</v>
      </c>
      <c r="F63" s="546"/>
      <c r="G63" s="250" t="str">
        <f t="shared" si="43"/>
        <v xml:space="preserve"> </v>
      </c>
      <c r="H63" s="249" t="s">
        <v>899</v>
      </c>
      <c r="I63" s="147">
        <v>4</v>
      </c>
      <c r="J63" s="548">
        <f t="shared" si="44"/>
        <v>1000</v>
      </c>
      <c r="K63" s="546"/>
      <c r="L63" s="547"/>
      <c r="M63" s="548">
        <v>0.5</v>
      </c>
      <c r="N63" s="548"/>
      <c r="O63" s="548"/>
      <c r="P63" s="663">
        <f t="shared" si="45"/>
        <v>2550</v>
      </c>
      <c r="Q63" s="663"/>
      <c r="R63" s="672">
        <f t="shared" si="46"/>
        <v>1990</v>
      </c>
      <c r="S63" s="673"/>
      <c r="T63" s="663">
        <f t="shared" si="47"/>
        <v>2390</v>
      </c>
      <c r="U63" s="663"/>
      <c r="V63" s="663">
        <f t="shared" si="48"/>
        <v>2080</v>
      </c>
      <c r="W63" s="663"/>
      <c r="X63" s="663">
        <f t="shared" si="49"/>
        <v>2020</v>
      </c>
      <c r="Y63" s="663"/>
      <c r="Z63" s="663">
        <f t="shared" si="50"/>
        <v>2310</v>
      </c>
      <c r="AA63" s="663"/>
      <c r="AB63" s="663">
        <f t="shared" si="51"/>
        <v>2370</v>
      </c>
      <c r="AC63" s="663"/>
      <c r="AD63" s="663">
        <f t="shared" si="52"/>
        <v>2150</v>
      </c>
      <c r="AE63" s="663"/>
      <c r="AF63" s="663">
        <f t="shared" si="53"/>
        <v>2330</v>
      </c>
      <c r="AG63" s="663"/>
      <c r="AH63" s="548">
        <f t="shared" si="54"/>
        <v>2220</v>
      </c>
      <c r="AI63" s="548"/>
      <c r="AJ63" s="149" t="s">
        <v>440</v>
      </c>
      <c r="AK63" s="150">
        <v>2222</v>
      </c>
    </row>
    <row r="64" spans="1:43" s="148" customFormat="1" ht="20.100000000000001" customHeight="1">
      <c r="A64" s="135">
        <f t="shared" si="55"/>
        <v>35</v>
      </c>
      <c r="B64" s="146" t="s">
        <v>877</v>
      </c>
      <c r="C64" s="403" t="s">
        <v>897</v>
      </c>
      <c r="D64" s="147" t="str">
        <f t="shared" si="42"/>
        <v>~380В</v>
      </c>
      <c r="E64" s="545" t="s">
        <v>879</v>
      </c>
      <c r="F64" s="546"/>
      <c r="G64" s="250" t="str">
        <f t="shared" si="43"/>
        <v xml:space="preserve"> </v>
      </c>
      <c r="H64" s="249" t="s">
        <v>899</v>
      </c>
      <c r="I64" s="147">
        <v>6</v>
      </c>
      <c r="J64" s="548">
        <f t="shared" si="44"/>
        <v>1000</v>
      </c>
      <c r="K64" s="546"/>
      <c r="L64" s="547"/>
      <c r="M64" s="548">
        <v>0.5</v>
      </c>
      <c r="N64" s="548"/>
      <c r="O64" s="548"/>
      <c r="P64" s="663">
        <f t="shared" si="45"/>
        <v>2940</v>
      </c>
      <c r="Q64" s="663"/>
      <c r="R64" s="672">
        <f t="shared" si="46"/>
        <v>2300</v>
      </c>
      <c r="S64" s="673"/>
      <c r="T64" s="663">
        <f t="shared" si="47"/>
        <v>2760</v>
      </c>
      <c r="U64" s="663"/>
      <c r="V64" s="663">
        <f t="shared" si="48"/>
        <v>2400</v>
      </c>
      <c r="W64" s="663"/>
      <c r="X64" s="663">
        <f t="shared" si="49"/>
        <v>2320</v>
      </c>
      <c r="Y64" s="663"/>
      <c r="Z64" s="663">
        <f t="shared" si="50"/>
        <v>2660</v>
      </c>
      <c r="AA64" s="663"/>
      <c r="AB64" s="663">
        <f t="shared" si="51"/>
        <v>2730</v>
      </c>
      <c r="AC64" s="663"/>
      <c r="AD64" s="663">
        <f t="shared" si="52"/>
        <v>2480</v>
      </c>
      <c r="AE64" s="663"/>
      <c r="AF64" s="663">
        <f t="shared" si="53"/>
        <v>2680</v>
      </c>
      <c r="AG64" s="663"/>
      <c r="AH64" s="548">
        <f t="shared" si="54"/>
        <v>2560</v>
      </c>
      <c r="AI64" s="548"/>
      <c r="AJ64" s="149" t="s">
        <v>440</v>
      </c>
      <c r="AK64" s="150">
        <v>2560</v>
      </c>
    </row>
    <row r="65" spans="1:43" s="148" customFormat="1" ht="20.100000000000001" customHeight="1">
      <c r="A65" s="135">
        <f t="shared" si="55"/>
        <v>36</v>
      </c>
      <c r="B65" s="146" t="s">
        <v>877</v>
      </c>
      <c r="C65" s="403" t="s">
        <v>898</v>
      </c>
      <c r="D65" s="147" t="str">
        <f t="shared" si="42"/>
        <v>~380В</v>
      </c>
      <c r="E65" s="545" t="s">
        <v>879</v>
      </c>
      <c r="F65" s="546"/>
      <c r="G65" s="250" t="str">
        <f t="shared" si="43"/>
        <v xml:space="preserve"> </v>
      </c>
      <c r="H65" s="249" t="s">
        <v>899</v>
      </c>
      <c r="I65" s="147">
        <v>25</v>
      </c>
      <c r="J65" s="548">
        <f t="shared" si="44"/>
        <v>2500</v>
      </c>
      <c r="K65" s="546"/>
      <c r="L65" s="547"/>
      <c r="M65" s="548">
        <v>0.5</v>
      </c>
      <c r="N65" s="548"/>
      <c r="O65" s="548"/>
      <c r="P65" s="663">
        <f t="shared" si="45"/>
        <v>3380</v>
      </c>
      <c r="Q65" s="663"/>
      <c r="R65" s="672">
        <f t="shared" si="46"/>
        <v>2640</v>
      </c>
      <c r="S65" s="673"/>
      <c r="T65" s="663">
        <f t="shared" si="47"/>
        <v>3170</v>
      </c>
      <c r="U65" s="663"/>
      <c r="V65" s="663">
        <f t="shared" si="48"/>
        <v>2760</v>
      </c>
      <c r="W65" s="663"/>
      <c r="X65" s="663">
        <f t="shared" si="49"/>
        <v>2670</v>
      </c>
      <c r="Y65" s="663"/>
      <c r="Z65" s="663">
        <f t="shared" si="50"/>
        <v>3050</v>
      </c>
      <c r="AA65" s="663"/>
      <c r="AB65" s="663">
        <f t="shared" si="51"/>
        <v>3140</v>
      </c>
      <c r="AC65" s="663"/>
      <c r="AD65" s="663">
        <f t="shared" si="52"/>
        <v>2850</v>
      </c>
      <c r="AE65" s="663"/>
      <c r="AF65" s="663">
        <f t="shared" si="53"/>
        <v>3080</v>
      </c>
      <c r="AG65" s="663"/>
      <c r="AH65" s="548">
        <f t="shared" si="54"/>
        <v>2940</v>
      </c>
      <c r="AI65" s="548"/>
      <c r="AJ65" s="149" t="s">
        <v>440</v>
      </c>
      <c r="AK65" s="150">
        <v>2940</v>
      </c>
    </row>
    <row r="66" spans="1:43" s="148" customFormat="1" ht="20.100000000000001" customHeight="1">
      <c r="A66" s="135">
        <f t="shared" si="55"/>
        <v>37</v>
      </c>
      <c r="B66" s="146" t="s">
        <v>877</v>
      </c>
      <c r="C66" s="403" t="s">
        <v>900</v>
      </c>
      <c r="D66" s="147" t="str">
        <f t="shared" si="42"/>
        <v>~380В</v>
      </c>
      <c r="E66" s="545" t="s">
        <v>879</v>
      </c>
      <c r="F66" s="546"/>
      <c r="G66" s="250" t="str">
        <f t="shared" si="43"/>
        <v xml:space="preserve"> </v>
      </c>
      <c r="H66" s="249" t="s">
        <v>899</v>
      </c>
      <c r="I66" s="147">
        <v>4</v>
      </c>
      <c r="J66" s="548">
        <f t="shared" si="44"/>
        <v>1000</v>
      </c>
      <c r="K66" s="546"/>
      <c r="L66" s="547"/>
      <c r="M66" s="548">
        <v>0.5</v>
      </c>
      <c r="N66" s="548"/>
      <c r="O66" s="548"/>
      <c r="P66" s="663">
        <f t="shared" si="45"/>
        <v>2240</v>
      </c>
      <c r="Q66" s="663"/>
      <c r="R66" s="672">
        <f t="shared" si="46"/>
        <v>1750</v>
      </c>
      <c r="S66" s="673"/>
      <c r="T66" s="663">
        <f t="shared" si="47"/>
        <v>2100</v>
      </c>
      <c r="U66" s="663"/>
      <c r="V66" s="663">
        <f t="shared" si="48"/>
        <v>1830</v>
      </c>
      <c r="W66" s="663"/>
      <c r="X66" s="663">
        <f t="shared" si="49"/>
        <v>1770</v>
      </c>
      <c r="Y66" s="663"/>
      <c r="Z66" s="663">
        <f t="shared" si="50"/>
        <v>2020</v>
      </c>
      <c r="AA66" s="663"/>
      <c r="AB66" s="663">
        <f t="shared" si="51"/>
        <v>2080</v>
      </c>
      <c r="AC66" s="663"/>
      <c r="AD66" s="663">
        <f t="shared" si="52"/>
        <v>1890</v>
      </c>
      <c r="AE66" s="663"/>
      <c r="AF66" s="663">
        <f t="shared" si="53"/>
        <v>2040</v>
      </c>
      <c r="AG66" s="663"/>
      <c r="AH66" s="548">
        <f t="shared" si="54"/>
        <v>1950</v>
      </c>
      <c r="AI66" s="548"/>
      <c r="AJ66" s="149" t="s">
        <v>440</v>
      </c>
      <c r="AK66" s="150">
        <v>1950</v>
      </c>
    </row>
    <row r="67" spans="1:43" s="148" customFormat="1" ht="20.100000000000001" customHeight="1">
      <c r="A67" s="135">
        <f t="shared" si="55"/>
        <v>38</v>
      </c>
      <c r="B67" s="146" t="s">
        <v>877</v>
      </c>
      <c r="C67" s="403" t="s">
        <v>901</v>
      </c>
      <c r="D67" s="147" t="str">
        <f t="shared" si="42"/>
        <v>~380В</v>
      </c>
      <c r="E67" s="545" t="s">
        <v>879</v>
      </c>
      <c r="F67" s="546"/>
      <c r="G67" s="250" t="str">
        <f t="shared" si="43"/>
        <v xml:space="preserve"> </v>
      </c>
      <c r="H67" s="249" t="s">
        <v>899</v>
      </c>
      <c r="I67" s="147">
        <v>4</v>
      </c>
      <c r="J67" s="548">
        <f t="shared" si="44"/>
        <v>1000</v>
      </c>
      <c r="K67" s="546"/>
      <c r="L67" s="547"/>
      <c r="M67" s="548">
        <v>0.5</v>
      </c>
      <c r="N67" s="548"/>
      <c r="O67" s="548"/>
      <c r="P67" s="663">
        <f t="shared" si="45"/>
        <v>3090</v>
      </c>
      <c r="Q67" s="663"/>
      <c r="R67" s="672">
        <f t="shared" si="46"/>
        <v>2420</v>
      </c>
      <c r="S67" s="673"/>
      <c r="T67" s="663">
        <f t="shared" si="47"/>
        <v>2900</v>
      </c>
      <c r="U67" s="663"/>
      <c r="V67" s="663">
        <f t="shared" si="48"/>
        <v>2520</v>
      </c>
      <c r="W67" s="663"/>
      <c r="X67" s="663">
        <f t="shared" si="49"/>
        <v>2440</v>
      </c>
      <c r="Y67" s="663"/>
      <c r="Z67" s="663">
        <f t="shared" si="50"/>
        <v>2790</v>
      </c>
      <c r="AA67" s="663"/>
      <c r="AB67" s="663">
        <f t="shared" si="51"/>
        <v>2870</v>
      </c>
      <c r="AC67" s="663"/>
      <c r="AD67" s="663">
        <f t="shared" si="52"/>
        <v>2600</v>
      </c>
      <c r="AE67" s="663"/>
      <c r="AF67" s="663">
        <f t="shared" si="53"/>
        <v>2820</v>
      </c>
      <c r="AG67" s="663"/>
      <c r="AH67" s="548">
        <f t="shared" si="54"/>
        <v>2680</v>
      </c>
      <c r="AI67" s="548"/>
      <c r="AJ67" s="149" t="s">
        <v>440</v>
      </c>
      <c r="AK67" s="150">
        <v>2689</v>
      </c>
    </row>
    <row r="68" spans="1:43" s="148" customFormat="1" ht="20.100000000000001" customHeight="1">
      <c r="A68" s="135">
        <f t="shared" si="55"/>
        <v>39</v>
      </c>
      <c r="B68" s="146" t="s">
        <v>877</v>
      </c>
      <c r="C68" s="403" t="s">
        <v>902</v>
      </c>
      <c r="D68" s="147" t="str">
        <f t="shared" si="42"/>
        <v>~380В</v>
      </c>
      <c r="E68" s="545" t="s">
        <v>879</v>
      </c>
      <c r="F68" s="546"/>
      <c r="G68" s="250" t="str">
        <f t="shared" si="43"/>
        <v xml:space="preserve"> </v>
      </c>
      <c r="H68" s="249" t="s">
        <v>899</v>
      </c>
      <c r="I68" s="147">
        <v>4</v>
      </c>
      <c r="J68" s="548">
        <f t="shared" si="44"/>
        <v>1000</v>
      </c>
      <c r="K68" s="546"/>
      <c r="L68" s="547"/>
      <c r="M68" s="548">
        <v>0.5</v>
      </c>
      <c r="N68" s="548"/>
      <c r="O68" s="548"/>
      <c r="P68" s="663">
        <f t="shared" si="45"/>
        <v>3380</v>
      </c>
      <c r="Q68" s="663"/>
      <c r="R68" s="672">
        <f t="shared" si="46"/>
        <v>2640</v>
      </c>
      <c r="S68" s="673"/>
      <c r="T68" s="663">
        <f t="shared" si="47"/>
        <v>3170</v>
      </c>
      <c r="U68" s="663"/>
      <c r="V68" s="663">
        <f t="shared" si="48"/>
        <v>2760</v>
      </c>
      <c r="W68" s="663"/>
      <c r="X68" s="663">
        <f t="shared" si="49"/>
        <v>2670</v>
      </c>
      <c r="Y68" s="663"/>
      <c r="Z68" s="663">
        <f t="shared" si="50"/>
        <v>3050</v>
      </c>
      <c r="AA68" s="663"/>
      <c r="AB68" s="663">
        <f t="shared" si="51"/>
        <v>3140</v>
      </c>
      <c r="AC68" s="663"/>
      <c r="AD68" s="663">
        <f t="shared" si="52"/>
        <v>2850</v>
      </c>
      <c r="AE68" s="663"/>
      <c r="AF68" s="663">
        <f t="shared" si="53"/>
        <v>3080</v>
      </c>
      <c r="AG68" s="663"/>
      <c r="AH68" s="548">
        <f t="shared" si="54"/>
        <v>2940</v>
      </c>
      <c r="AI68" s="548"/>
      <c r="AJ68" s="149" t="s">
        <v>440</v>
      </c>
      <c r="AK68" s="150">
        <v>2940</v>
      </c>
    </row>
    <row r="69" spans="1:43" s="148" customFormat="1" ht="20.100000000000001" customHeight="1">
      <c r="A69" s="135">
        <f t="shared" si="55"/>
        <v>40</v>
      </c>
      <c r="B69" s="146" t="s">
        <v>877</v>
      </c>
      <c r="C69" s="403" t="s">
        <v>903</v>
      </c>
      <c r="D69" s="147" t="str">
        <f t="shared" si="42"/>
        <v>~380В</v>
      </c>
      <c r="E69" s="545" t="s">
        <v>879</v>
      </c>
      <c r="F69" s="546"/>
      <c r="G69" s="250" t="str">
        <f t="shared" si="43"/>
        <v xml:space="preserve"> </v>
      </c>
      <c r="H69" s="249" t="s">
        <v>899</v>
      </c>
      <c r="I69" s="147">
        <v>4</v>
      </c>
      <c r="J69" s="548">
        <f t="shared" si="44"/>
        <v>1000</v>
      </c>
      <c r="K69" s="546"/>
      <c r="L69" s="547"/>
      <c r="M69" s="548">
        <v>0.5</v>
      </c>
      <c r="N69" s="548"/>
      <c r="O69" s="548"/>
      <c r="P69" s="663">
        <f t="shared" si="45"/>
        <v>2840</v>
      </c>
      <c r="Q69" s="663"/>
      <c r="R69" s="672">
        <f t="shared" si="46"/>
        <v>2220</v>
      </c>
      <c r="S69" s="673"/>
      <c r="T69" s="663">
        <f t="shared" si="47"/>
        <v>2670</v>
      </c>
      <c r="U69" s="663"/>
      <c r="V69" s="663">
        <f t="shared" si="48"/>
        <v>2320</v>
      </c>
      <c r="W69" s="663"/>
      <c r="X69" s="663">
        <f t="shared" si="49"/>
        <v>2250</v>
      </c>
      <c r="Y69" s="663"/>
      <c r="Z69" s="663">
        <f t="shared" si="50"/>
        <v>2570</v>
      </c>
      <c r="AA69" s="663"/>
      <c r="AB69" s="663">
        <f t="shared" si="51"/>
        <v>2650</v>
      </c>
      <c r="AC69" s="663"/>
      <c r="AD69" s="663">
        <f t="shared" si="52"/>
        <v>2400</v>
      </c>
      <c r="AE69" s="663"/>
      <c r="AF69" s="663">
        <f t="shared" si="53"/>
        <v>2600</v>
      </c>
      <c r="AG69" s="663"/>
      <c r="AH69" s="548">
        <f t="shared" si="54"/>
        <v>2470</v>
      </c>
      <c r="AI69" s="548"/>
      <c r="AJ69" s="149" t="s">
        <v>440</v>
      </c>
      <c r="AK69" s="150">
        <v>2477</v>
      </c>
    </row>
    <row r="70" spans="1:43" s="134" customFormat="1" ht="20.100000000000001" customHeight="1">
      <c r="A70" s="73" t="str">
        <f ca="1">'Протокол №505-2'!A57</f>
        <v>ЩВ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5"/>
      <c r="AJ70" s="136"/>
      <c r="AK70" s="87"/>
      <c r="AN70" s="35"/>
      <c r="AP70"/>
      <c r="AQ70"/>
    </row>
    <row r="71" spans="1:43" s="148" customFormat="1" ht="20.100000000000001" customHeight="1">
      <c r="A71" s="135">
        <v>41</v>
      </c>
      <c r="B71" s="146" t="s">
        <v>877</v>
      </c>
      <c r="C71" s="403" t="s">
        <v>888</v>
      </c>
      <c r="D71" s="147" t="str">
        <f t="shared" ref="D71:D79" si="56">IF(AJ71="АВС","~380В","~220В")</f>
        <v>~380В</v>
      </c>
      <c r="E71" s="545" t="s">
        <v>879</v>
      </c>
      <c r="F71" s="546"/>
      <c r="G71" s="250" t="str">
        <f t="shared" ref="G71:G77" si="57">IF(OR(E71="ПВС",E71="ПУНП",E71="ПУГНП",E71="ШВВП"),"*"," ")</f>
        <v xml:space="preserve"> </v>
      </c>
      <c r="H71" s="249" t="s">
        <v>899</v>
      </c>
      <c r="I71" s="147">
        <v>10</v>
      </c>
      <c r="J71" s="548">
        <f t="shared" ref="J71:J79" si="58">IF(I71&gt;16,2500,1000)</f>
        <v>1000</v>
      </c>
      <c r="K71" s="546"/>
      <c r="L71" s="547"/>
      <c r="M71" s="548">
        <v>0.5</v>
      </c>
      <c r="N71" s="548"/>
      <c r="O71" s="548"/>
      <c r="P71" s="663">
        <f t="shared" ref="P71:P79" si="59">IF(AJ71="АВС",TRUNC((AK71+AK71*15/100)/10,0)*10,"-")</f>
        <v>2840</v>
      </c>
      <c r="Q71" s="663"/>
      <c r="R71" s="672">
        <f t="shared" ref="R71:R79" si="60">IF(AJ71="АВС",TRUNC((AK71-AK71*10/100)/10,0)*10,"-")</f>
        <v>2220</v>
      </c>
      <c r="S71" s="673"/>
      <c r="T71" s="663">
        <f t="shared" ref="T71:T79" si="61">IF(AJ71="АВС",TRUNC((AK71+AK71*8/100)/10,0)*10,"-")</f>
        <v>2670</v>
      </c>
      <c r="U71" s="663"/>
      <c r="V71" s="663">
        <f t="shared" ref="V71:V79" si="62">IF(OR(AJ71="АВС",AJ71="А"),TRUNC((AK71-AK71*6/100)/10,0)*10,"-")</f>
        <v>2320</v>
      </c>
      <c r="W71" s="663"/>
      <c r="X71" s="663">
        <f t="shared" ref="X71:X79" si="63">IF(OR(AJ71="АВС",AJ71="В"),TRUNC((AK71-AK71*9/100)/10,0)*10,"-")</f>
        <v>2250</v>
      </c>
      <c r="Y71" s="663"/>
      <c r="Z71" s="663">
        <f t="shared" ref="Z71:Z79" si="64">IF(OR(AJ71="АВС",AJ71="С"),TRUNC((AK71+AK71*4/100)/10,0)*10,"-")</f>
        <v>2570</v>
      </c>
      <c r="AA71" s="663"/>
      <c r="AB71" s="663">
        <f t="shared" ref="AB71:AB79" si="65">IF(OR(AJ71="АВС",AJ71="А"),TRUNC((AK71+AK71*7/100)/10,0)*10,"-")</f>
        <v>2640</v>
      </c>
      <c r="AC71" s="663"/>
      <c r="AD71" s="663">
        <f t="shared" ref="AD71:AD79" si="66">IF(OR(AJ71="АВС",AJ71="В"),TRUNC((AK71-AK71*3/100)/10,0)*10,"-")</f>
        <v>2400</v>
      </c>
      <c r="AE71" s="663"/>
      <c r="AF71" s="663">
        <f t="shared" ref="AF71:AF79" si="67">IF(OR(AJ71="АВС",AJ71="С"),TRUNC((AK71+AK71*5/100)/10,0)*10,"-")</f>
        <v>2590</v>
      </c>
      <c r="AG71" s="663"/>
      <c r="AH71" s="548">
        <f t="shared" ref="AH71:AH79" si="68">TRUNC(AK71/10,0)*10</f>
        <v>2470</v>
      </c>
      <c r="AI71" s="548"/>
      <c r="AJ71" s="149" t="s">
        <v>440</v>
      </c>
      <c r="AK71" s="150">
        <v>2475</v>
      </c>
    </row>
    <row r="72" spans="1:43" s="148" customFormat="1" ht="20.100000000000001" customHeight="1">
      <c r="A72" s="135">
        <f t="shared" ref="A72:A79" si="69">A71+1</f>
        <v>42</v>
      </c>
      <c r="B72" s="146" t="s">
        <v>877</v>
      </c>
      <c r="C72" s="403" t="s">
        <v>897</v>
      </c>
      <c r="D72" s="147" t="str">
        <f t="shared" si="56"/>
        <v>~220В</v>
      </c>
      <c r="E72" s="545" t="s">
        <v>879</v>
      </c>
      <c r="F72" s="546"/>
      <c r="G72" s="250" t="str">
        <f t="shared" si="57"/>
        <v xml:space="preserve"> </v>
      </c>
      <c r="H72" s="249" t="s">
        <v>880</v>
      </c>
      <c r="I72" s="147">
        <v>2.5</v>
      </c>
      <c r="J72" s="548">
        <f t="shared" si="58"/>
        <v>1000</v>
      </c>
      <c r="K72" s="546"/>
      <c r="L72" s="547"/>
      <c r="M72" s="548">
        <v>0.5</v>
      </c>
      <c r="N72" s="548"/>
      <c r="O72" s="548"/>
      <c r="P72" s="663" t="str">
        <f t="shared" si="59"/>
        <v>-</v>
      </c>
      <c r="Q72" s="663"/>
      <c r="R72" s="672" t="str">
        <f t="shared" si="60"/>
        <v>-</v>
      </c>
      <c r="S72" s="673"/>
      <c r="T72" s="663" t="str">
        <f t="shared" si="61"/>
        <v>-</v>
      </c>
      <c r="U72" s="663"/>
      <c r="V72" s="663" t="str">
        <f t="shared" si="62"/>
        <v>-</v>
      </c>
      <c r="W72" s="663"/>
      <c r="X72" s="663" t="str">
        <f t="shared" si="63"/>
        <v>-</v>
      </c>
      <c r="Y72" s="663"/>
      <c r="Z72" s="663">
        <f t="shared" si="64"/>
        <v>1940</v>
      </c>
      <c r="AA72" s="663"/>
      <c r="AB72" s="663" t="str">
        <f t="shared" si="65"/>
        <v>-</v>
      </c>
      <c r="AC72" s="663"/>
      <c r="AD72" s="663" t="str">
        <f t="shared" si="66"/>
        <v>-</v>
      </c>
      <c r="AE72" s="663"/>
      <c r="AF72" s="663">
        <f t="shared" si="67"/>
        <v>1960</v>
      </c>
      <c r="AG72" s="663"/>
      <c r="AH72" s="548">
        <f t="shared" si="68"/>
        <v>1860</v>
      </c>
      <c r="AI72" s="548"/>
      <c r="AJ72" s="149" t="s">
        <v>449</v>
      </c>
      <c r="AK72" s="150">
        <v>1869</v>
      </c>
    </row>
    <row r="73" spans="1:43" s="148" customFormat="1" ht="20.100000000000001" customHeight="1">
      <c r="A73" s="135">
        <f t="shared" si="69"/>
        <v>43</v>
      </c>
      <c r="B73" s="146" t="s">
        <v>877</v>
      </c>
      <c r="C73" s="403" t="s">
        <v>898</v>
      </c>
      <c r="D73" s="147" t="str">
        <f t="shared" si="56"/>
        <v>~220В</v>
      </c>
      <c r="E73" s="545" t="s">
        <v>879</v>
      </c>
      <c r="F73" s="546"/>
      <c r="G73" s="250" t="str">
        <f t="shared" si="57"/>
        <v xml:space="preserve"> </v>
      </c>
      <c r="H73" s="249" t="s">
        <v>880</v>
      </c>
      <c r="I73" s="147">
        <v>2.5</v>
      </c>
      <c r="J73" s="548">
        <f t="shared" si="58"/>
        <v>1000</v>
      </c>
      <c r="K73" s="546"/>
      <c r="L73" s="547"/>
      <c r="M73" s="548">
        <v>0.5</v>
      </c>
      <c r="N73" s="548"/>
      <c r="O73" s="548"/>
      <c r="P73" s="663" t="str">
        <f t="shared" si="59"/>
        <v>-</v>
      </c>
      <c r="Q73" s="663"/>
      <c r="R73" s="672" t="str">
        <f t="shared" si="60"/>
        <v>-</v>
      </c>
      <c r="S73" s="673"/>
      <c r="T73" s="663" t="str">
        <f t="shared" si="61"/>
        <v>-</v>
      </c>
      <c r="U73" s="663"/>
      <c r="V73" s="663">
        <f t="shared" si="62"/>
        <v>1910</v>
      </c>
      <c r="W73" s="663"/>
      <c r="X73" s="663" t="str">
        <f t="shared" si="63"/>
        <v>-</v>
      </c>
      <c r="Y73" s="663"/>
      <c r="Z73" s="663" t="str">
        <f t="shared" si="64"/>
        <v>-</v>
      </c>
      <c r="AA73" s="663"/>
      <c r="AB73" s="663">
        <f t="shared" si="65"/>
        <v>2170</v>
      </c>
      <c r="AC73" s="663"/>
      <c r="AD73" s="663" t="str">
        <f t="shared" si="66"/>
        <v>-</v>
      </c>
      <c r="AE73" s="663"/>
      <c r="AF73" s="663" t="str">
        <f t="shared" si="67"/>
        <v>-</v>
      </c>
      <c r="AG73" s="663"/>
      <c r="AH73" s="548">
        <f t="shared" si="68"/>
        <v>2030</v>
      </c>
      <c r="AI73" s="548"/>
      <c r="AJ73" s="149" t="s">
        <v>448</v>
      </c>
      <c r="AK73" s="150">
        <v>2035</v>
      </c>
    </row>
    <row r="74" spans="1:43" s="148" customFormat="1" ht="20.100000000000001" customHeight="1">
      <c r="A74" s="135">
        <f t="shared" si="69"/>
        <v>44</v>
      </c>
      <c r="B74" s="146" t="s">
        <v>877</v>
      </c>
      <c r="C74" s="403" t="s">
        <v>900</v>
      </c>
      <c r="D74" s="147" t="str">
        <f t="shared" si="56"/>
        <v>~220В</v>
      </c>
      <c r="E74" s="545" t="s">
        <v>879</v>
      </c>
      <c r="F74" s="546"/>
      <c r="G74" s="250" t="str">
        <f t="shared" si="57"/>
        <v xml:space="preserve"> </v>
      </c>
      <c r="H74" s="249" t="s">
        <v>880</v>
      </c>
      <c r="I74" s="147">
        <v>2.5</v>
      </c>
      <c r="J74" s="548">
        <f t="shared" si="58"/>
        <v>1000</v>
      </c>
      <c r="K74" s="546"/>
      <c r="L74" s="547"/>
      <c r="M74" s="548">
        <v>0.5</v>
      </c>
      <c r="N74" s="548"/>
      <c r="O74" s="548"/>
      <c r="P74" s="663" t="str">
        <f t="shared" si="59"/>
        <v>-</v>
      </c>
      <c r="Q74" s="663"/>
      <c r="R74" s="672" t="str">
        <f t="shared" si="60"/>
        <v>-</v>
      </c>
      <c r="S74" s="673"/>
      <c r="T74" s="663" t="str">
        <f t="shared" si="61"/>
        <v>-</v>
      </c>
      <c r="U74" s="663"/>
      <c r="V74" s="663" t="str">
        <f t="shared" si="62"/>
        <v>-</v>
      </c>
      <c r="W74" s="663"/>
      <c r="X74" s="663">
        <f t="shared" si="63"/>
        <v>2040</v>
      </c>
      <c r="Y74" s="663"/>
      <c r="Z74" s="663" t="str">
        <f t="shared" si="64"/>
        <v>-</v>
      </c>
      <c r="AA74" s="663"/>
      <c r="AB74" s="663" t="str">
        <f t="shared" si="65"/>
        <v>-</v>
      </c>
      <c r="AC74" s="663"/>
      <c r="AD74" s="663">
        <f t="shared" si="66"/>
        <v>2180</v>
      </c>
      <c r="AE74" s="663"/>
      <c r="AF74" s="663" t="str">
        <f t="shared" si="67"/>
        <v>-</v>
      </c>
      <c r="AG74" s="663"/>
      <c r="AH74" s="548">
        <f t="shared" si="68"/>
        <v>2250</v>
      </c>
      <c r="AI74" s="548"/>
      <c r="AJ74" s="149" t="s">
        <v>441</v>
      </c>
      <c r="AK74" s="150">
        <v>2250</v>
      </c>
    </row>
    <row r="75" spans="1:43" s="148" customFormat="1" ht="20.100000000000001" customHeight="1">
      <c r="A75" s="135">
        <f t="shared" si="69"/>
        <v>45</v>
      </c>
      <c r="B75" s="146" t="s">
        <v>877</v>
      </c>
      <c r="C75" s="403" t="s">
        <v>901</v>
      </c>
      <c r="D75" s="147" t="str">
        <f t="shared" si="56"/>
        <v>~220В</v>
      </c>
      <c r="E75" s="545" t="s">
        <v>879</v>
      </c>
      <c r="F75" s="546"/>
      <c r="G75" s="250" t="str">
        <f t="shared" si="57"/>
        <v xml:space="preserve"> </v>
      </c>
      <c r="H75" s="249" t="s">
        <v>880</v>
      </c>
      <c r="I75" s="147">
        <v>2.5</v>
      </c>
      <c r="J75" s="548">
        <f t="shared" si="58"/>
        <v>1000</v>
      </c>
      <c r="K75" s="546"/>
      <c r="L75" s="547"/>
      <c r="M75" s="548">
        <v>0.5</v>
      </c>
      <c r="N75" s="548"/>
      <c r="O75" s="548"/>
      <c r="P75" s="663" t="str">
        <f t="shared" si="59"/>
        <v>-</v>
      </c>
      <c r="Q75" s="663"/>
      <c r="R75" s="672" t="str">
        <f t="shared" si="60"/>
        <v>-</v>
      </c>
      <c r="S75" s="673"/>
      <c r="T75" s="663" t="str">
        <f t="shared" si="61"/>
        <v>-</v>
      </c>
      <c r="U75" s="663"/>
      <c r="V75" s="663" t="str">
        <f t="shared" si="62"/>
        <v>-</v>
      </c>
      <c r="W75" s="663"/>
      <c r="X75" s="663" t="str">
        <f t="shared" si="63"/>
        <v>-</v>
      </c>
      <c r="Y75" s="663"/>
      <c r="Z75" s="663">
        <f t="shared" si="64"/>
        <v>2430</v>
      </c>
      <c r="AA75" s="663"/>
      <c r="AB75" s="663" t="str">
        <f t="shared" si="65"/>
        <v>-</v>
      </c>
      <c r="AC75" s="663"/>
      <c r="AD75" s="663" t="str">
        <f t="shared" si="66"/>
        <v>-</v>
      </c>
      <c r="AE75" s="663"/>
      <c r="AF75" s="663">
        <f t="shared" si="67"/>
        <v>2450</v>
      </c>
      <c r="AG75" s="663"/>
      <c r="AH75" s="548">
        <f t="shared" si="68"/>
        <v>2340</v>
      </c>
      <c r="AI75" s="548"/>
      <c r="AJ75" s="149" t="s">
        <v>449</v>
      </c>
      <c r="AK75" s="150">
        <v>2341</v>
      </c>
    </row>
    <row r="76" spans="1:43" s="148" customFormat="1" ht="20.100000000000001" customHeight="1">
      <c r="A76" s="135">
        <f t="shared" si="69"/>
        <v>46</v>
      </c>
      <c r="B76" s="146" t="s">
        <v>877</v>
      </c>
      <c r="C76" s="403" t="s">
        <v>902</v>
      </c>
      <c r="D76" s="147" t="str">
        <f t="shared" si="56"/>
        <v>~220В</v>
      </c>
      <c r="E76" s="545" t="s">
        <v>879</v>
      </c>
      <c r="F76" s="546"/>
      <c r="G76" s="250" t="str">
        <f t="shared" si="57"/>
        <v xml:space="preserve"> </v>
      </c>
      <c r="H76" s="249" t="s">
        <v>880</v>
      </c>
      <c r="I76" s="147">
        <v>2.5</v>
      </c>
      <c r="J76" s="548">
        <f t="shared" si="58"/>
        <v>1000</v>
      </c>
      <c r="K76" s="546"/>
      <c r="L76" s="547"/>
      <c r="M76" s="548">
        <v>0.5</v>
      </c>
      <c r="N76" s="548"/>
      <c r="O76" s="548"/>
      <c r="P76" s="663" t="str">
        <f t="shared" si="59"/>
        <v>-</v>
      </c>
      <c r="Q76" s="663"/>
      <c r="R76" s="672" t="str">
        <f t="shared" si="60"/>
        <v>-</v>
      </c>
      <c r="S76" s="673"/>
      <c r="T76" s="663" t="str">
        <f t="shared" si="61"/>
        <v>-</v>
      </c>
      <c r="U76" s="663"/>
      <c r="V76" s="663">
        <f t="shared" si="62"/>
        <v>1740</v>
      </c>
      <c r="W76" s="663"/>
      <c r="X76" s="663" t="str">
        <f t="shared" si="63"/>
        <v>-</v>
      </c>
      <c r="Y76" s="663"/>
      <c r="Z76" s="663" t="str">
        <f t="shared" si="64"/>
        <v>-</v>
      </c>
      <c r="AA76" s="663"/>
      <c r="AB76" s="663">
        <f t="shared" si="65"/>
        <v>1980</v>
      </c>
      <c r="AC76" s="663"/>
      <c r="AD76" s="663" t="str">
        <f t="shared" si="66"/>
        <v>-</v>
      </c>
      <c r="AE76" s="663"/>
      <c r="AF76" s="663" t="str">
        <f t="shared" si="67"/>
        <v>-</v>
      </c>
      <c r="AG76" s="663"/>
      <c r="AH76" s="548">
        <f t="shared" si="68"/>
        <v>1850</v>
      </c>
      <c r="AI76" s="548"/>
      <c r="AJ76" s="149" t="s">
        <v>448</v>
      </c>
      <c r="AK76" s="150">
        <v>1856</v>
      </c>
    </row>
    <row r="77" spans="1:43" s="148" customFormat="1" ht="20.100000000000001" customHeight="1">
      <c r="A77" s="135">
        <f t="shared" si="69"/>
        <v>47</v>
      </c>
      <c r="B77" s="146" t="s">
        <v>877</v>
      </c>
      <c r="C77" s="403" t="s">
        <v>903</v>
      </c>
      <c r="D77" s="147" t="str">
        <f t="shared" si="56"/>
        <v>~220В</v>
      </c>
      <c r="E77" s="545" t="s">
        <v>879</v>
      </c>
      <c r="F77" s="546"/>
      <c r="G77" s="250" t="str">
        <f t="shared" si="57"/>
        <v xml:space="preserve"> </v>
      </c>
      <c r="H77" s="249" t="s">
        <v>880</v>
      </c>
      <c r="I77" s="147">
        <v>2.5</v>
      </c>
      <c r="J77" s="548">
        <f t="shared" si="58"/>
        <v>1000</v>
      </c>
      <c r="K77" s="546"/>
      <c r="L77" s="547"/>
      <c r="M77" s="548">
        <v>0.5</v>
      </c>
      <c r="N77" s="548"/>
      <c r="O77" s="548"/>
      <c r="P77" s="663" t="str">
        <f t="shared" si="59"/>
        <v>-</v>
      </c>
      <c r="Q77" s="663"/>
      <c r="R77" s="672" t="str">
        <f t="shared" si="60"/>
        <v>-</v>
      </c>
      <c r="S77" s="673"/>
      <c r="T77" s="663" t="str">
        <f t="shared" si="61"/>
        <v>-</v>
      </c>
      <c r="U77" s="663"/>
      <c r="V77" s="663" t="str">
        <f t="shared" si="62"/>
        <v>-</v>
      </c>
      <c r="W77" s="663"/>
      <c r="X77" s="663" t="str">
        <f t="shared" si="63"/>
        <v>-</v>
      </c>
      <c r="Y77" s="663"/>
      <c r="Z77" s="663">
        <f t="shared" si="64"/>
        <v>1470</v>
      </c>
      <c r="AA77" s="663"/>
      <c r="AB77" s="663" t="str">
        <f t="shared" si="65"/>
        <v>-</v>
      </c>
      <c r="AC77" s="663"/>
      <c r="AD77" s="663" t="str">
        <f t="shared" si="66"/>
        <v>-</v>
      </c>
      <c r="AE77" s="663"/>
      <c r="AF77" s="663">
        <f t="shared" si="67"/>
        <v>1490</v>
      </c>
      <c r="AG77" s="663"/>
      <c r="AH77" s="548">
        <f t="shared" si="68"/>
        <v>1420</v>
      </c>
      <c r="AI77" s="548"/>
      <c r="AJ77" s="149" t="s">
        <v>449</v>
      </c>
      <c r="AK77" s="150">
        <v>1420</v>
      </c>
    </row>
    <row r="78" spans="1:43" s="148" customFormat="1" ht="19.5" customHeight="1">
      <c r="A78" s="135">
        <f t="shared" si="69"/>
        <v>48</v>
      </c>
      <c r="B78" s="146" t="s">
        <v>877</v>
      </c>
      <c r="C78" s="403" t="s">
        <v>904</v>
      </c>
      <c r="D78" s="147" t="str">
        <f t="shared" si="56"/>
        <v>~220В</v>
      </c>
      <c r="E78" s="545" t="s">
        <v>905</v>
      </c>
      <c r="F78" s="546"/>
      <c r="G78" s="676"/>
      <c r="H78" s="676"/>
      <c r="I78" s="677"/>
      <c r="J78" s="548">
        <f t="shared" si="58"/>
        <v>1000</v>
      </c>
      <c r="K78" s="546"/>
      <c r="L78" s="547"/>
      <c r="M78" s="548">
        <v>0.5</v>
      </c>
      <c r="N78" s="548"/>
      <c r="O78" s="548"/>
      <c r="P78" s="663" t="str">
        <f t="shared" si="59"/>
        <v>-</v>
      </c>
      <c r="Q78" s="663"/>
      <c r="R78" s="672" t="str">
        <f t="shared" si="60"/>
        <v>-</v>
      </c>
      <c r="S78" s="673"/>
      <c r="T78" s="663" t="str">
        <f t="shared" si="61"/>
        <v>-</v>
      </c>
      <c r="U78" s="663"/>
      <c r="V78" s="663" t="str">
        <f t="shared" si="62"/>
        <v>-</v>
      </c>
      <c r="W78" s="663"/>
      <c r="X78" s="663" t="str">
        <f t="shared" si="63"/>
        <v>-</v>
      </c>
      <c r="Y78" s="663"/>
      <c r="Z78" s="663">
        <f t="shared" si="64"/>
        <v>3020</v>
      </c>
      <c r="AA78" s="663"/>
      <c r="AB78" s="663" t="str">
        <f t="shared" si="65"/>
        <v>-</v>
      </c>
      <c r="AC78" s="663"/>
      <c r="AD78" s="663" t="str">
        <f t="shared" si="66"/>
        <v>-</v>
      </c>
      <c r="AE78" s="663"/>
      <c r="AF78" s="663">
        <f t="shared" si="67"/>
        <v>3050</v>
      </c>
      <c r="AG78" s="663"/>
      <c r="AH78" s="548">
        <f t="shared" si="68"/>
        <v>2910</v>
      </c>
      <c r="AI78" s="548"/>
      <c r="AJ78" s="149" t="s">
        <v>449</v>
      </c>
      <c r="AK78" s="150">
        <v>2910</v>
      </c>
    </row>
    <row r="79" spans="1:43" s="148" customFormat="1" ht="20.100000000000001" customHeight="1">
      <c r="A79" s="135">
        <f t="shared" si="69"/>
        <v>49</v>
      </c>
      <c r="B79" s="146" t="s">
        <v>877</v>
      </c>
      <c r="C79" s="403" t="s">
        <v>906</v>
      </c>
      <c r="D79" s="147" t="str">
        <f t="shared" si="56"/>
        <v>~220В</v>
      </c>
      <c r="E79" s="545" t="s">
        <v>879</v>
      </c>
      <c r="F79" s="546"/>
      <c r="G79" s="250" t="str">
        <f>IF(OR(E79="ПВС",E79="ПУНП",E79="ПУГНП",E79="ШВВП"),"*"," ")</f>
        <v xml:space="preserve"> </v>
      </c>
      <c r="H79" s="249" t="s">
        <v>880</v>
      </c>
      <c r="I79" s="147">
        <v>2.5</v>
      </c>
      <c r="J79" s="548">
        <f t="shared" si="58"/>
        <v>1000</v>
      </c>
      <c r="K79" s="546"/>
      <c r="L79" s="547"/>
      <c r="M79" s="548">
        <v>0.5</v>
      </c>
      <c r="N79" s="548"/>
      <c r="O79" s="548"/>
      <c r="P79" s="663" t="str">
        <f t="shared" si="59"/>
        <v>-</v>
      </c>
      <c r="Q79" s="663"/>
      <c r="R79" s="672" t="str">
        <f t="shared" si="60"/>
        <v>-</v>
      </c>
      <c r="S79" s="673"/>
      <c r="T79" s="663" t="str">
        <f t="shared" si="61"/>
        <v>-</v>
      </c>
      <c r="U79" s="663"/>
      <c r="V79" s="663">
        <f t="shared" si="62"/>
        <v>1390</v>
      </c>
      <c r="W79" s="663"/>
      <c r="X79" s="663" t="str">
        <f t="shared" si="63"/>
        <v>-</v>
      </c>
      <c r="Y79" s="663"/>
      <c r="Z79" s="663" t="str">
        <f t="shared" si="64"/>
        <v>-</v>
      </c>
      <c r="AA79" s="663"/>
      <c r="AB79" s="663">
        <f t="shared" si="65"/>
        <v>1580</v>
      </c>
      <c r="AC79" s="663"/>
      <c r="AD79" s="663" t="str">
        <f t="shared" si="66"/>
        <v>-</v>
      </c>
      <c r="AE79" s="663"/>
      <c r="AF79" s="663" t="str">
        <f t="shared" si="67"/>
        <v>-</v>
      </c>
      <c r="AG79" s="663"/>
      <c r="AH79" s="548">
        <f t="shared" si="68"/>
        <v>1480</v>
      </c>
      <c r="AI79" s="548"/>
      <c r="AJ79" s="149" t="s">
        <v>448</v>
      </c>
      <c r="AK79" s="150">
        <v>1485</v>
      </c>
    </row>
    <row r="80" spans="1:43" s="134" customFormat="1" ht="20.100000000000001" customHeight="1">
      <c r="A80" s="73" t="str">
        <f ca="1">'Протокол №505-2'!A62</f>
        <v>ЩС-3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5"/>
      <c r="AJ80" s="136"/>
      <c r="AK80" s="87"/>
      <c r="AN80" s="35"/>
      <c r="AP80"/>
      <c r="AQ80"/>
    </row>
    <row r="81" spans="1:43" s="148" customFormat="1" ht="20.100000000000001" customHeight="1">
      <c r="A81" s="135">
        <v>50</v>
      </c>
      <c r="B81" s="146" t="s">
        <v>877</v>
      </c>
      <c r="C81" s="403" t="s">
        <v>878</v>
      </c>
      <c r="D81" s="147" t="str">
        <f t="shared" ref="D81:D92" si="70">IF(AJ81="АВС","~380В","~220В")</f>
        <v>~220В</v>
      </c>
      <c r="E81" s="545" t="s">
        <v>905</v>
      </c>
      <c r="F81" s="546"/>
      <c r="G81" s="676"/>
      <c r="H81" s="676"/>
      <c r="I81" s="677"/>
      <c r="J81" s="548">
        <f t="shared" ref="J81:J92" si="71">IF(I81&gt;16,2500,1000)</f>
        <v>1000</v>
      </c>
      <c r="K81" s="546"/>
      <c r="L81" s="547"/>
      <c r="M81" s="548">
        <v>0.5</v>
      </c>
      <c r="N81" s="548"/>
      <c r="O81" s="548"/>
      <c r="P81" s="663" t="str">
        <f t="shared" ref="P81:P92" si="72">IF(AJ81="АВС",TRUNC((AK81+AK81*15/100)/10,0)*10,"-")</f>
        <v>-</v>
      </c>
      <c r="Q81" s="663"/>
      <c r="R81" s="672" t="str">
        <f t="shared" ref="R81:R92" si="73">IF(AJ81="АВС",TRUNC((AK81-AK81*10/100)/10,0)*10,"-")</f>
        <v>-</v>
      </c>
      <c r="S81" s="673"/>
      <c r="T81" s="663" t="str">
        <f t="shared" ref="T81:T92" si="74">IF(AJ81="АВС",TRUNC((AK81+AK81*8/100)/10,0)*10,"-")</f>
        <v>-</v>
      </c>
      <c r="U81" s="663"/>
      <c r="V81" s="663">
        <f t="shared" ref="V81:V92" si="75">IF(OR(AJ81="АВС",AJ81="А"),TRUNC((AK81-AK81*6/100)/10,0)*10,"-")</f>
        <v>1330</v>
      </c>
      <c r="W81" s="663"/>
      <c r="X81" s="663" t="str">
        <f t="shared" ref="X81:X92" si="76">IF(OR(AJ81="АВС",AJ81="В"),TRUNC((AK81-AK81*9/100)/10,0)*10,"-")</f>
        <v>-</v>
      </c>
      <c r="Y81" s="663"/>
      <c r="Z81" s="663" t="str">
        <f t="shared" ref="Z81:Z92" si="77">IF(OR(AJ81="АВС",AJ81="С"),TRUNC((AK81+AK81*4/100)/10,0)*10,"-")</f>
        <v>-</v>
      </c>
      <c r="AA81" s="663"/>
      <c r="AB81" s="663">
        <f t="shared" ref="AB81:AB92" si="78">IF(OR(AJ81="АВС",AJ81="А"),TRUNC((AK81+AK81*7/100)/10,0)*10,"-")</f>
        <v>1510</v>
      </c>
      <c r="AC81" s="663"/>
      <c r="AD81" s="663" t="str">
        <f t="shared" ref="AD81:AD92" si="79">IF(OR(AJ81="АВС",AJ81="В"),TRUNC((AK81-AK81*3/100)/10,0)*10,"-")</f>
        <v>-</v>
      </c>
      <c r="AE81" s="663"/>
      <c r="AF81" s="663" t="str">
        <f t="shared" ref="AF81:AF92" si="80">IF(OR(AJ81="АВС",AJ81="С"),TRUNC((AK81+AK81*5/100)/10,0)*10,"-")</f>
        <v>-</v>
      </c>
      <c r="AG81" s="663"/>
      <c r="AH81" s="548">
        <f t="shared" ref="AH81:AH92" si="81">TRUNC(AK81/10,0)*10</f>
        <v>1420</v>
      </c>
      <c r="AI81" s="548"/>
      <c r="AJ81" s="149" t="s">
        <v>448</v>
      </c>
      <c r="AK81" s="150">
        <v>1420</v>
      </c>
    </row>
    <row r="82" spans="1:43" s="148" customFormat="1" ht="20.100000000000001" customHeight="1">
      <c r="A82" s="135">
        <f t="shared" ref="A82:A92" si="82">A81+1</f>
        <v>51</v>
      </c>
      <c r="B82" s="146" t="s">
        <v>877</v>
      </c>
      <c r="C82" s="403" t="s">
        <v>881</v>
      </c>
      <c r="D82" s="147" t="str">
        <f t="shared" si="70"/>
        <v>~220В</v>
      </c>
      <c r="E82" s="545" t="s">
        <v>905</v>
      </c>
      <c r="F82" s="546"/>
      <c r="G82" s="676"/>
      <c r="H82" s="676"/>
      <c r="I82" s="677"/>
      <c r="J82" s="548">
        <f t="shared" si="71"/>
        <v>1000</v>
      </c>
      <c r="K82" s="546"/>
      <c r="L82" s="547"/>
      <c r="M82" s="548">
        <v>0.5</v>
      </c>
      <c r="N82" s="548"/>
      <c r="O82" s="548"/>
      <c r="P82" s="663" t="str">
        <f t="shared" si="72"/>
        <v>-</v>
      </c>
      <c r="Q82" s="663"/>
      <c r="R82" s="672" t="str">
        <f t="shared" si="73"/>
        <v>-</v>
      </c>
      <c r="S82" s="673"/>
      <c r="T82" s="663" t="str">
        <f t="shared" si="74"/>
        <v>-</v>
      </c>
      <c r="U82" s="663"/>
      <c r="V82" s="663" t="str">
        <f t="shared" si="75"/>
        <v>-</v>
      </c>
      <c r="W82" s="663"/>
      <c r="X82" s="663">
        <f t="shared" si="76"/>
        <v>1860</v>
      </c>
      <c r="Y82" s="663"/>
      <c r="Z82" s="663" t="str">
        <f t="shared" si="77"/>
        <v>-</v>
      </c>
      <c r="AA82" s="663"/>
      <c r="AB82" s="663" t="str">
        <f t="shared" si="78"/>
        <v>-</v>
      </c>
      <c r="AC82" s="663"/>
      <c r="AD82" s="663">
        <f t="shared" si="79"/>
        <v>1980</v>
      </c>
      <c r="AE82" s="663"/>
      <c r="AF82" s="663" t="str">
        <f t="shared" si="80"/>
        <v>-</v>
      </c>
      <c r="AG82" s="663"/>
      <c r="AH82" s="548">
        <f t="shared" si="81"/>
        <v>2050</v>
      </c>
      <c r="AI82" s="548"/>
      <c r="AJ82" s="149" t="s">
        <v>441</v>
      </c>
      <c r="AK82" s="150">
        <v>2050</v>
      </c>
    </row>
    <row r="83" spans="1:43" s="148" customFormat="1" ht="20.100000000000001" customHeight="1">
      <c r="A83" s="135">
        <f t="shared" si="82"/>
        <v>52</v>
      </c>
      <c r="B83" s="146" t="s">
        <v>877</v>
      </c>
      <c r="C83" s="403" t="s">
        <v>882</v>
      </c>
      <c r="D83" s="147" t="str">
        <f t="shared" si="70"/>
        <v>~220В</v>
      </c>
      <c r="E83" s="545" t="s">
        <v>905</v>
      </c>
      <c r="F83" s="546"/>
      <c r="G83" s="676"/>
      <c r="H83" s="676"/>
      <c r="I83" s="677"/>
      <c r="J83" s="548">
        <f t="shared" si="71"/>
        <v>1000</v>
      </c>
      <c r="K83" s="546"/>
      <c r="L83" s="547"/>
      <c r="M83" s="548">
        <v>0.5</v>
      </c>
      <c r="N83" s="548"/>
      <c r="O83" s="548"/>
      <c r="P83" s="663" t="str">
        <f t="shared" si="72"/>
        <v>-</v>
      </c>
      <c r="Q83" s="663"/>
      <c r="R83" s="672" t="str">
        <f t="shared" si="73"/>
        <v>-</v>
      </c>
      <c r="S83" s="673"/>
      <c r="T83" s="663" t="str">
        <f t="shared" si="74"/>
        <v>-</v>
      </c>
      <c r="U83" s="663"/>
      <c r="V83" s="663" t="str">
        <f t="shared" si="75"/>
        <v>-</v>
      </c>
      <c r="W83" s="663"/>
      <c r="X83" s="663" t="str">
        <f t="shared" si="76"/>
        <v>-</v>
      </c>
      <c r="Y83" s="663"/>
      <c r="Z83" s="663">
        <f t="shared" si="77"/>
        <v>2020</v>
      </c>
      <c r="AA83" s="663"/>
      <c r="AB83" s="663" t="str">
        <f t="shared" si="78"/>
        <v>-</v>
      </c>
      <c r="AC83" s="663"/>
      <c r="AD83" s="663" t="str">
        <f t="shared" si="79"/>
        <v>-</v>
      </c>
      <c r="AE83" s="663"/>
      <c r="AF83" s="663">
        <f t="shared" si="80"/>
        <v>2040</v>
      </c>
      <c r="AG83" s="663"/>
      <c r="AH83" s="548">
        <f t="shared" si="81"/>
        <v>1950</v>
      </c>
      <c r="AI83" s="548"/>
      <c r="AJ83" s="149" t="s">
        <v>449</v>
      </c>
      <c r="AK83" s="150">
        <v>1951</v>
      </c>
    </row>
    <row r="84" spans="1:43" s="148" customFormat="1" ht="20.100000000000001" customHeight="1">
      <c r="A84" s="135">
        <f t="shared" si="82"/>
        <v>53</v>
      </c>
      <c r="B84" s="146" t="s">
        <v>877</v>
      </c>
      <c r="C84" s="403" t="s">
        <v>883</v>
      </c>
      <c r="D84" s="147" t="str">
        <f t="shared" si="70"/>
        <v>~220В</v>
      </c>
      <c r="E84" s="545" t="s">
        <v>905</v>
      </c>
      <c r="F84" s="546"/>
      <c r="G84" s="676"/>
      <c r="H84" s="676"/>
      <c r="I84" s="677"/>
      <c r="J84" s="548">
        <f t="shared" si="71"/>
        <v>1000</v>
      </c>
      <c r="K84" s="546"/>
      <c r="L84" s="547"/>
      <c r="M84" s="548">
        <v>0.5</v>
      </c>
      <c r="N84" s="548"/>
      <c r="O84" s="548"/>
      <c r="P84" s="663" t="str">
        <f t="shared" si="72"/>
        <v>-</v>
      </c>
      <c r="Q84" s="663"/>
      <c r="R84" s="672" t="str">
        <f t="shared" si="73"/>
        <v>-</v>
      </c>
      <c r="S84" s="673"/>
      <c r="T84" s="663" t="str">
        <f t="shared" si="74"/>
        <v>-</v>
      </c>
      <c r="U84" s="663"/>
      <c r="V84" s="663">
        <f t="shared" si="75"/>
        <v>1540</v>
      </c>
      <c r="W84" s="663"/>
      <c r="X84" s="663" t="str">
        <f t="shared" si="76"/>
        <v>-</v>
      </c>
      <c r="Y84" s="663"/>
      <c r="Z84" s="663" t="str">
        <f t="shared" si="77"/>
        <v>-</v>
      </c>
      <c r="AA84" s="663"/>
      <c r="AB84" s="663">
        <f t="shared" si="78"/>
        <v>1760</v>
      </c>
      <c r="AC84" s="663"/>
      <c r="AD84" s="663" t="str">
        <f t="shared" si="79"/>
        <v>-</v>
      </c>
      <c r="AE84" s="663"/>
      <c r="AF84" s="663" t="str">
        <f t="shared" si="80"/>
        <v>-</v>
      </c>
      <c r="AG84" s="663"/>
      <c r="AH84" s="548">
        <f t="shared" si="81"/>
        <v>1640</v>
      </c>
      <c r="AI84" s="548"/>
      <c r="AJ84" s="149" t="s">
        <v>448</v>
      </c>
      <c r="AK84" s="150">
        <v>1645</v>
      </c>
    </row>
    <row r="85" spans="1:43" s="148" customFormat="1" ht="20.100000000000001" customHeight="1">
      <c r="A85" s="135">
        <f t="shared" si="82"/>
        <v>54</v>
      </c>
      <c r="B85" s="146" t="s">
        <v>877</v>
      </c>
      <c r="C85" s="403" t="s">
        <v>884</v>
      </c>
      <c r="D85" s="147" t="str">
        <f t="shared" si="70"/>
        <v>~220В</v>
      </c>
      <c r="E85" s="545" t="s">
        <v>905</v>
      </c>
      <c r="F85" s="546"/>
      <c r="G85" s="676"/>
      <c r="H85" s="676"/>
      <c r="I85" s="677"/>
      <c r="J85" s="548">
        <f t="shared" si="71"/>
        <v>1000</v>
      </c>
      <c r="K85" s="546"/>
      <c r="L85" s="547"/>
      <c r="M85" s="548">
        <v>0.5</v>
      </c>
      <c r="N85" s="548"/>
      <c r="O85" s="548"/>
      <c r="P85" s="663" t="str">
        <f t="shared" si="72"/>
        <v>-</v>
      </c>
      <c r="Q85" s="663"/>
      <c r="R85" s="672" t="str">
        <f t="shared" si="73"/>
        <v>-</v>
      </c>
      <c r="S85" s="673"/>
      <c r="T85" s="663" t="str">
        <f t="shared" si="74"/>
        <v>-</v>
      </c>
      <c r="U85" s="663"/>
      <c r="V85" s="663" t="str">
        <f t="shared" si="75"/>
        <v>-</v>
      </c>
      <c r="W85" s="663"/>
      <c r="X85" s="663">
        <f t="shared" si="76"/>
        <v>2090</v>
      </c>
      <c r="Y85" s="663"/>
      <c r="Z85" s="663" t="str">
        <f t="shared" si="77"/>
        <v>-</v>
      </c>
      <c r="AA85" s="663"/>
      <c r="AB85" s="663" t="str">
        <f t="shared" si="78"/>
        <v>-</v>
      </c>
      <c r="AC85" s="663"/>
      <c r="AD85" s="663">
        <f t="shared" si="79"/>
        <v>2230</v>
      </c>
      <c r="AE85" s="663"/>
      <c r="AF85" s="663" t="str">
        <f t="shared" si="80"/>
        <v>-</v>
      </c>
      <c r="AG85" s="663"/>
      <c r="AH85" s="548">
        <f t="shared" si="81"/>
        <v>2300</v>
      </c>
      <c r="AI85" s="548"/>
      <c r="AJ85" s="149" t="s">
        <v>441</v>
      </c>
      <c r="AK85" s="150">
        <v>2305</v>
      </c>
    </row>
    <row r="86" spans="1:43" s="148" customFormat="1" ht="20.100000000000001" customHeight="1">
      <c r="A86" s="135">
        <f t="shared" si="82"/>
        <v>55</v>
      </c>
      <c r="B86" s="146" t="s">
        <v>877</v>
      </c>
      <c r="C86" s="403" t="s">
        <v>885</v>
      </c>
      <c r="D86" s="147" t="str">
        <f t="shared" si="70"/>
        <v>~220В</v>
      </c>
      <c r="E86" s="545" t="s">
        <v>905</v>
      </c>
      <c r="F86" s="546"/>
      <c r="G86" s="676"/>
      <c r="H86" s="676"/>
      <c r="I86" s="677"/>
      <c r="J86" s="548">
        <f t="shared" si="71"/>
        <v>1000</v>
      </c>
      <c r="K86" s="546"/>
      <c r="L86" s="547"/>
      <c r="M86" s="548">
        <v>0.5</v>
      </c>
      <c r="N86" s="548"/>
      <c r="O86" s="548"/>
      <c r="P86" s="663" t="str">
        <f t="shared" si="72"/>
        <v>-</v>
      </c>
      <c r="Q86" s="663"/>
      <c r="R86" s="672" t="str">
        <f t="shared" si="73"/>
        <v>-</v>
      </c>
      <c r="S86" s="673"/>
      <c r="T86" s="663" t="str">
        <f t="shared" si="74"/>
        <v>-</v>
      </c>
      <c r="U86" s="663"/>
      <c r="V86" s="663" t="str">
        <f t="shared" si="75"/>
        <v>-</v>
      </c>
      <c r="W86" s="663"/>
      <c r="X86" s="663" t="str">
        <f t="shared" si="76"/>
        <v>-</v>
      </c>
      <c r="Y86" s="663"/>
      <c r="Z86" s="663">
        <f t="shared" si="77"/>
        <v>2570</v>
      </c>
      <c r="AA86" s="663"/>
      <c r="AB86" s="663" t="str">
        <f t="shared" si="78"/>
        <v>-</v>
      </c>
      <c r="AC86" s="663"/>
      <c r="AD86" s="663" t="str">
        <f t="shared" si="79"/>
        <v>-</v>
      </c>
      <c r="AE86" s="663"/>
      <c r="AF86" s="663">
        <f t="shared" si="80"/>
        <v>2600</v>
      </c>
      <c r="AG86" s="663"/>
      <c r="AH86" s="548">
        <f t="shared" si="81"/>
        <v>2470</v>
      </c>
      <c r="AI86" s="548"/>
      <c r="AJ86" s="149" t="s">
        <v>449</v>
      </c>
      <c r="AK86" s="150">
        <v>2478</v>
      </c>
    </row>
    <row r="87" spans="1:43" s="148" customFormat="1" ht="20.100000000000001" customHeight="1">
      <c r="A87" s="135">
        <f t="shared" si="82"/>
        <v>56</v>
      </c>
      <c r="B87" s="146" t="s">
        <v>877</v>
      </c>
      <c r="C87" s="403" t="s">
        <v>886</v>
      </c>
      <c r="D87" s="147" t="str">
        <f t="shared" si="70"/>
        <v>~220В</v>
      </c>
      <c r="E87" s="545" t="s">
        <v>905</v>
      </c>
      <c r="F87" s="546"/>
      <c r="G87" s="676"/>
      <c r="H87" s="676"/>
      <c r="I87" s="677"/>
      <c r="J87" s="548">
        <f t="shared" si="71"/>
        <v>1000</v>
      </c>
      <c r="K87" s="546"/>
      <c r="L87" s="547"/>
      <c r="M87" s="548">
        <v>0.5</v>
      </c>
      <c r="N87" s="548"/>
      <c r="O87" s="548"/>
      <c r="P87" s="663" t="str">
        <f t="shared" si="72"/>
        <v>-</v>
      </c>
      <c r="Q87" s="663"/>
      <c r="R87" s="672" t="str">
        <f t="shared" si="73"/>
        <v>-</v>
      </c>
      <c r="S87" s="673"/>
      <c r="T87" s="663" t="str">
        <f t="shared" si="74"/>
        <v>-</v>
      </c>
      <c r="U87" s="663"/>
      <c r="V87" s="663">
        <f t="shared" si="75"/>
        <v>2630</v>
      </c>
      <c r="W87" s="663"/>
      <c r="X87" s="663" t="str">
        <f t="shared" si="76"/>
        <v>-</v>
      </c>
      <c r="Y87" s="663"/>
      <c r="Z87" s="663" t="str">
        <f t="shared" si="77"/>
        <v>-</v>
      </c>
      <c r="AA87" s="663"/>
      <c r="AB87" s="663">
        <f t="shared" si="78"/>
        <v>2990</v>
      </c>
      <c r="AC87" s="663"/>
      <c r="AD87" s="663" t="str">
        <f t="shared" si="79"/>
        <v>-</v>
      </c>
      <c r="AE87" s="663"/>
      <c r="AF87" s="663" t="str">
        <f t="shared" si="80"/>
        <v>-</v>
      </c>
      <c r="AG87" s="663"/>
      <c r="AH87" s="548">
        <f t="shared" si="81"/>
        <v>2800</v>
      </c>
      <c r="AI87" s="548"/>
      <c r="AJ87" s="149" t="s">
        <v>448</v>
      </c>
      <c r="AK87" s="150">
        <v>2800</v>
      </c>
    </row>
    <row r="88" spans="1:43" s="148" customFormat="1" ht="20.100000000000001" customHeight="1">
      <c r="A88" s="135">
        <f t="shared" si="82"/>
        <v>57</v>
      </c>
      <c r="B88" s="146" t="s">
        <v>877</v>
      </c>
      <c r="C88" s="403" t="s">
        <v>887</v>
      </c>
      <c r="D88" s="147" t="str">
        <f t="shared" si="70"/>
        <v>~220В</v>
      </c>
      <c r="E88" s="545" t="s">
        <v>879</v>
      </c>
      <c r="F88" s="546"/>
      <c r="G88" s="250" t="str">
        <f>IF(OR(E88="ПВС",E88="ПУНП",E88="ПУГНП",E88="ШВВП"),"*"," ")</f>
        <v xml:space="preserve"> </v>
      </c>
      <c r="H88" s="249" t="s">
        <v>880</v>
      </c>
      <c r="I88" s="147">
        <v>2.5</v>
      </c>
      <c r="J88" s="548">
        <f t="shared" si="71"/>
        <v>1000</v>
      </c>
      <c r="K88" s="546"/>
      <c r="L88" s="547"/>
      <c r="M88" s="548">
        <v>0.5</v>
      </c>
      <c r="N88" s="548"/>
      <c r="O88" s="548"/>
      <c r="P88" s="663" t="str">
        <f t="shared" si="72"/>
        <v>-</v>
      </c>
      <c r="Q88" s="663"/>
      <c r="R88" s="672" t="str">
        <f t="shared" si="73"/>
        <v>-</v>
      </c>
      <c r="S88" s="673"/>
      <c r="T88" s="663" t="str">
        <f t="shared" si="74"/>
        <v>-</v>
      </c>
      <c r="U88" s="663"/>
      <c r="V88" s="663" t="str">
        <f t="shared" si="75"/>
        <v>-</v>
      </c>
      <c r="W88" s="663"/>
      <c r="X88" s="663">
        <f t="shared" si="76"/>
        <v>1590</v>
      </c>
      <c r="Y88" s="663"/>
      <c r="Z88" s="663" t="str">
        <f t="shared" si="77"/>
        <v>-</v>
      </c>
      <c r="AA88" s="663"/>
      <c r="AB88" s="663" t="str">
        <f t="shared" si="78"/>
        <v>-</v>
      </c>
      <c r="AC88" s="663"/>
      <c r="AD88" s="663">
        <f t="shared" si="79"/>
        <v>1700</v>
      </c>
      <c r="AE88" s="663"/>
      <c r="AF88" s="663" t="str">
        <f t="shared" si="80"/>
        <v>-</v>
      </c>
      <c r="AG88" s="663"/>
      <c r="AH88" s="548">
        <f t="shared" si="81"/>
        <v>1750</v>
      </c>
      <c r="AI88" s="548"/>
      <c r="AJ88" s="149" t="s">
        <v>441</v>
      </c>
      <c r="AK88" s="150">
        <v>1753</v>
      </c>
    </row>
    <row r="89" spans="1:43" s="148" customFormat="1" ht="20.100000000000001" customHeight="1">
      <c r="A89" s="135">
        <f t="shared" si="82"/>
        <v>58</v>
      </c>
      <c r="B89" s="146" t="s">
        <v>877</v>
      </c>
      <c r="C89" s="403" t="s">
        <v>907</v>
      </c>
      <c r="D89" s="147" t="str">
        <f t="shared" si="70"/>
        <v>~220В</v>
      </c>
      <c r="E89" s="545" t="s">
        <v>879</v>
      </c>
      <c r="F89" s="546"/>
      <c r="G89" s="250" t="str">
        <f>IF(OR(E89="ПВС",E89="ПУНП",E89="ПУГНП",E89="ШВВП"),"*"," ")</f>
        <v xml:space="preserve"> </v>
      </c>
      <c r="H89" s="249" t="s">
        <v>880</v>
      </c>
      <c r="I89" s="147">
        <v>2.5</v>
      </c>
      <c r="J89" s="548">
        <f t="shared" si="71"/>
        <v>1000</v>
      </c>
      <c r="K89" s="546"/>
      <c r="L89" s="547"/>
      <c r="M89" s="548">
        <v>0.5</v>
      </c>
      <c r="N89" s="548"/>
      <c r="O89" s="548"/>
      <c r="P89" s="663" t="str">
        <f t="shared" si="72"/>
        <v>-</v>
      </c>
      <c r="Q89" s="663"/>
      <c r="R89" s="672" t="str">
        <f t="shared" si="73"/>
        <v>-</v>
      </c>
      <c r="S89" s="673"/>
      <c r="T89" s="663" t="str">
        <f t="shared" si="74"/>
        <v>-</v>
      </c>
      <c r="U89" s="663"/>
      <c r="V89" s="663" t="str">
        <f t="shared" si="75"/>
        <v>-</v>
      </c>
      <c r="W89" s="663"/>
      <c r="X89" s="663" t="str">
        <f t="shared" si="76"/>
        <v>-</v>
      </c>
      <c r="Y89" s="663"/>
      <c r="Z89" s="663">
        <f t="shared" si="77"/>
        <v>2150</v>
      </c>
      <c r="AA89" s="663"/>
      <c r="AB89" s="663" t="str">
        <f t="shared" si="78"/>
        <v>-</v>
      </c>
      <c r="AC89" s="663"/>
      <c r="AD89" s="663" t="str">
        <f t="shared" si="79"/>
        <v>-</v>
      </c>
      <c r="AE89" s="663"/>
      <c r="AF89" s="663">
        <f t="shared" si="80"/>
        <v>2170</v>
      </c>
      <c r="AG89" s="663"/>
      <c r="AH89" s="548">
        <f t="shared" si="81"/>
        <v>2070</v>
      </c>
      <c r="AI89" s="548"/>
      <c r="AJ89" s="149" t="s">
        <v>449</v>
      </c>
      <c r="AK89" s="150">
        <v>2070</v>
      </c>
    </row>
    <row r="90" spans="1:43" s="148" customFormat="1" ht="20.100000000000001" customHeight="1">
      <c r="A90" s="135">
        <f t="shared" si="82"/>
        <v>59</v>
      </c>
      <c r="B90" s="146" t="s">
        <v>877</v>
      </c>
      <c r="C90" s="403" t="s">
        <v>908</v>
      </c>
      <c r="D90" s="147" t="str">
        <f t="shared" si="70"/>
        <v>~220В</v>
      </c>
      <c r="E90" s="545" t="s">
        <v>879</v>
      </c>
      <c r="F90" s="546"/>
      <c r="G90" s="250" t="str">
        <f>IF(OR(E90="ПВС",E90="ПУНП",E90="ПУГНП",E90="ШВВП"),"*"," ")</f>
        <v xml:space="preserve"> </v>
      </c>
      <c r="H90" s="249" t="s">
        <v>880</v>
      </c>
      <c r="I90" s="147">
        <v>2.5</v>
      </c>
      <c r="J90" s="548">
        <f t="shared" si="71"/>
        <v>1000</v>
      </c>
      <c r="K90" s="546"/>
      <c r="L90" s="547"/>
      <c r="M90" s="548">
        <v>0.5</v>
      </c>
      <c r="N90" s="548"/>
      <c r="O90" s="548"/>
      <c r="P90" s="663" t="str">
        <f t="shared" si="72"/>
        <v>-</v>
      </c>
      <c r="Q90" s="663"/>
      <c r="R90" s="672" t="str">
        <f t="shared" si="73"/>
        <v>-</v>
      </c>
      <c r="S90" s="673"/>
      <c r="T90" s="663" t="str">
        <f t="shared" si="74"/>
        <v>-</v>
      </c>
      <c r="U90" s="663"/>
      <c r="V90" s="663">
        <f t="shared" si="75"/>
        <v>2040</v>
      </c>
      <c r="W90" s="663"/>
      <c r="X90" s="663" t="str">
        <f t="shared" si="76"/>
        <v>-</v>
      </c>
      <c r="Y90" s="663"/>
      <c r="Z90" s="663" t="str">
        <f t="shared" si="77"/>
        <v>-</v>
      </c>
      <c r="AA90" s="663"/>
      <c r="AB90" s="663">
        <f t="shared" si="78"/>
        <v>2330</v>
      </c>
      <c r="AC90" s="663"/>
      <c r="AD90" s="663" t="str">
        <f t="shared" si="79"/>
        <v>-</v>
      </c>
      <c r="AE90" s="663"/>
      <c r="AF90" s="663" t="str">
        <f t="shared" si="80"/>
        <v>-</v>
      </c>
      <c r="AG90" s="663"/>
      <c r="AH90" s="548">
        <f t="shared" si="81"/>
        <v>2180</v>
      </c>
      <c r="AI90" s="548"/>
      <c r="AJ90" s="149" t="s">
        <v>448</v>
      </c>
      <c r="AK90" s="150">
        <v>2180</v>
      </c>
    </row>
    <row r="91" spans="1:43" s="148" customFormat="1" ht="20.100000000000001" customHeight="1">
      <c r="A91" s="135">
        <f t="shared" si="82"/>
        <v>60</v>
      </c>
      <c r="B91" s="146" t="s">
        <v>877</v>
      </c>
      <c r="C91" s="403" t="s">
        <v>909</v>
      </c>
      <c r="D91" s="147" t="str">
        <f t="shared" si="70"/>
        <v>~220В</v>
      </c>
      <c r="E91" s="545" t="s">
        <v>879</v>
      </c>
      <c r="F91" s="546"/>
      <c r="G91" s="250" t="str">
        <f>IF(OR(E91="ПВС",E91="ПУНП",E91="ПУГНП",E91="ШВВП"),"*"," ")</f>
        <v xml:space="preserve"> </v>
      </c>
      <c r="H91" s="249" t="s">
        <v>880</v>
      </c>
      <c r="I91" s="147">
        <v>2.5</v>
      </c>
      <c r="J91" s="548">
        <f t="shared" si="71"/>
        <v>1000</v>
      </c>
      <c r="K91" s="546"/>
      <c r="L91" s="547"/>
      <c r="M91" s="548">
        <v>0.5</v>
      </c>
      <c r="N91" s="548"/>
      <c r="O91" s="548"/>
      <c r="P91" s="663" t="str">
        <f t="shared" si="72"/>
        <v>-</v>
      </c>
      <c r="Q91" s="663"/>
      <c r="R91" s="672" t="str">
        <f t="shared" si="73"/>
        <v>-</v>
      </c>
      <c r="S91" s="673"/>
      <c r="T91" s="663" t="str">
        <f t="shared" si="74"/>
        <v>-</v>
      </c>
      <c r="U91" s="663"/>
      <c r="V91" s="663" t="str">
        <f t="shared" si="75"/>
        <v>-</v>
      </c>
      <c r="W91" s="663"/>
      <c r="X91" s="663">
        <f t="shared" si="76"/>
        <v>2180</v>
      </c>
      <c r="Y91" s="663"/>
      <c r="Z91" s="663" t="str">
        <f t="shared" si="77"/>
        <v>-</v>
      </c>
      <c r="AA91" s="663"/>
      <c r="AB91" s="663" t="str">
        <f t="shared" si="78"/>
        <v>-</v>
      </c>
      <c r="AC91" s="663"/>
      <c r="AD91" s="663">
        <f t="shared" si="79"/>
        <v>2330</v>
      </c>
      <c r="AE91" s="663"/>
      <c r="AF91" s="663" t="str">
        <f t="shared" si="80"/>
        <v>-</v>
      </c>
      <c r="AG91" s="663"/>
      <c r="AH91" s="548">
        <f t="shared" si="81"/>
        <v>2400</v>
      </c>
      <c r="AI91" s="548"/>
      <c r="AJ91" s="149" t="s">
        <v>441</v>
      </c>
      <c r="AK91" s="150">
        <v>2403</v>
      </c>
    </row>
    <row r="92" spans="1:43" s="148" customFormat="1" ht="20.100000000000001" customHeight="1">
      <c r="A92" s="135">
        <f t="shared" si="82"/>
        <v>61</v>
      </c>
      <c r="B92" s="146" t="s">
        <v>877</v>
      </c>
      <c r="C92" s="403" t="s">
        <v>910</v>
      </c>
      <c r="D92" s="147" t="str">
        <f t="shared" si="70"/>
        <v>~220В</v>
      </c>
      <c r="E92" s="545" t="s">
        <v>879</v>
      </c>
      <c r="F92" s="546"/>
      <c r="G92" s="250" t="str">
        <f>IF(OR(E92="ПВС",E92="ПУНП",E92="ПУГНП",E92="ШВВП"),"*"," ")</f>
        <v xml:space="preserve"> </v>
      </c>
      <c r="H92" s="249" t="s">
        <v>880</v>
      </c>
      <c r="I92" s="147">
        <v>2.5</v>
      </c>
      <c r="J92" s="548">
        <f t="shared" si="71"/>
        <v>1000</v>
      </c>
      <c r="K92" s="546"/>
      <c r="L92" s="547"/>
      <c r="M92" s="548">
        <v>0.5</v>
      </c>
      <c r="N92" s="548"/>
      <c r="O92" s="548"/>
      <c r="P92" s="663" t="str">
        <f t="shared" si="72"/>
        <v>-</v>
      </c>
      <c r="Q92" s="663"/>
      <c r="R92" s="672" t="str">
        <f t="shared" si="73"/>
        <v>-</v>
      </c>
      <c r="S92" s="673"/>
      <c r="T92" s="663" t="str">
        <f t="shared" si="74"/>
        <v>-</v>
      </c>
      <c r="U92" s="663"/>
      <c r="V92" s="663" t="str">
        <f t="shared" si="75"/>
        <v>-</v>
      </c>
      <c r="W92" s="663"/>
      <c r="X92" s="663" t="str">
        <f t="shared" si="76"/>
        <v>-</v>
      </c>
      <c r="Y92" s="663"/>
      <c r="Z92" s="663">
        <f t="shared" si="77"/>
        <v>2420</v>
      </c>
      <c r="AA92" s="663"/>
      <c r="AB92" s="663" t="str">
        <f t="shared" si="78"/>
        <v>-</v>
      </c>
      <c r="AC92" s="663"/>
      <c r="AD92" s="663" t="str">
        <f t="shared" si="79"/>
        <v>-</v>
      </c>
      <c r="AE92" s="663"/>
      <c r="AF92" s="663">
        <f t="shared" si="80"/>
        <v>2440</v>
      </c>
      <c r="AG92" s="663"/>
      <c r="AH92" s="548">
        <f t="shared" si="81"/>
        <v>2330</v>
      </c>
      <c r="AI92" s="548"/>
      <c r="AJ92" s="149" t="s">
        <v>449</v>
      </c>
      <c r="AK92" s="150">
        <v>2330</v>
      </c>
    </row>
    <row r="93" spans="1:43" s="134" customFormat="1" ht="20.100000000000001" customHeight="1">
      <c r="A93" s="73" t="str">
        <f ca="1">'Протокол №505-2'!A70</f>
        <v>ЩО-3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5"/>
      <c r="AJ93" s="136"/>
      <c r="AK93" s="87"/>
      <c r="AN93" s="35"/>
      <c r="AP93"/>
      <c r="AQ93"/>
    </row>
    <row r="94" spans="1:43" s="148" customFormat="1" ht="20.100000000000001" customHeight="1">
      <c r="A94" s="135">
        <v>62</v>
      </c>
      <c r="B94" s="146" t="s">
        <v>877</v>
      </c>
      <c r="C94" s="403" t="s">
        <v>888</v>
      </c>
      <c r="D94" s="147" t="str">
        <f t="shared" ref="D94:D100" si="83">IF(AJ94="АВС","~380В","~220В")</f>
        <v>~220В</v>
      </c>
      <c r="E94" s="545" t="s">
        <v>892</v>
      </c>
      <c r="F94" s="546"/>
      <c r="G94" s="250" t="str">
        <f t="shared" ref="G94:G99" si="84">IF(OR(E94="ПВС",E94="ПУНП",E94="ПУГНП",E94="ШВВП"),"*"," ")</f>
        <v xml:space="preserve"> </v>
      </c>
      <c r="H94" s="249" t="s">
        <v>880</v>
      </c>
      <c r="I94" s="147">
        <v>1.5</v>
      </c>
      <c r="J94" s="548">
        <f t="shared" ref="J94:J100" si="85">IF(I94&gt;16,2500,1000)</f>
        <v>1000</v>
      </c>
      <c r="K94" s="546"/>
      <c r="L94" s="547"/>
      <c r="M94" s="548">
        <v>0.5</v>
      </c>
      <c r="N94" s="548"/>
      <c r="O94" s="548"/>
      <c r="P94" s="663" t="str">
        <f t="shared" ref="P94:P100" si="86">IF(AJ94="АВС",TRUNC((AK94+AK94*15/100)/10,0)*10,"-")</f>
        <v>-</v>
      </c>
      <c r="Q94" s="663"/>
      <c r="R94" s="672" t="str">
        <f t="shared" ref="R94:R100" si="87">IF(AJ94="АВС",TRUNC((AK94-AK94*10/100)/10,0)*10,"-")</f>
        <v>-</v>
      </c>
      <c r="S94" s="673"/>
      <c r="T94" s="663" t="str">
        <f t="shared" ref="T94:T100" si="88">IF(AJ94="АВС",TRUNC((AK94+AK94*8/100)/10,0)*10,"-")</f>
        <v>-</v>
      </c>
      <c r="U94" s="663"/>
      <c r="V94" s="663">
        <f t="shared" ref="V94:V100" si="89">IF(OR(AJ94="АВС",AJ94="А"),TRUNC((AK94-AK94*6/100)/10,0)*10,"-")</f>
        <v>1770</v>
      </c>
      <c r="W94" s="663"/>
      <c r="X94" s="663" t="str">
        <f t="shared" ref="X94:X100" si="90">IF(OR(AJ94="АВС",AJ94="В"),TRUNC((AK94-AK94*9/100)/10,0)*10,"-")</f>
        <v>-</v>
      </c>
      <c r="Y94" s="663"/>
      <c r="Z94" s="663" t="str">
        <f t="shared" ref="Z94:Z100" si="91">IF(OR(AJ94="АВС",AJ94="С"),TRUNC((AK94+AK94*4/100)/10,0)*10,"-")</f>
        <v>-</v>
      </c>
      <c r="AA94" s="663"/>
      <c r="AB94" s="663">
        <f t="shared" ref="AB94:AB100" si="92">IF(OR(AJ94="АВС",AJ94="А"),TRUNC((AK94+AK94*7/100)/10,0)*10,"-")</f>
        <v>2020</v>
      </c>
      <c r="AC94" s="663"/>
      <c r="AD94" s="663" t="str">
        <f t="shared" ref="AD94:AD100" si="93">IF(OR(AJ94="АВС",AJ94="В"),TRUNC((AK94-AK94*3/100)/10,0)*10,"-")</f>
        <v>-</v>
      </c>
      <c r="AE94" s="663"/>
      <c r="AF94" s="663" t="str">
        <f t="shared" ref="AF94:AF100" si="94">IF(OR(AJ94="АВС",AJ94="С"),TRUNC((AK94+AK94*5/100)/10,0)*10,"-")</f>
        <v>-</v>
      </c>
      <c r="AG94" s="663"/>
      <c r="AH94" s="548">
        <f t="shared" ref="AH94:AH100" si="95">TRUNC(AK94/10,0)*10</f>
        <v>1880</v>
      </c>
      <c r="AI94" s="548"/>
      <c r="AJ94" s="149" t="s">
        <v>448</v>
      </c>
      <c r="AK94" s="150">
        <v>1888</v>
      </c>
    </row>
    <row r="95" spans="1:43" s="148" customFormat="1" ht="20.100000000000001" customHeight="1">
      <c r="A95" s="135">
        <f t="shared" ref="A95:A100" si="96">A94+1</f>
        <v>63</v>
      </c>
      <c r="B95" s="146" t="s">
        <v>877</v>
      </c>
      <c r="C95" s="403" t="s">
        <v>890</v>
      </c>
      <c r="D95" s="147" t="str">
        <f t="shared" si="83"/>
        <v>~220В</v>
      </c>
      <c r="E95" s="545" t="s">
        <v>879</v>
      </c>
      <c r="F95" s="546"/>
      <c r="G95" s="250" t="str">
        <f t="shared" si="84"/>
        <v xml:space="preserve"> </v>
      </c>
      <c r="H95" s="249" t="s">
        <v>880</v>
      </c>
      <c r="I95" s="147">
        <v>1.5</v>
      </c>
      <c r="J95" s="548">
        <f t="shared" si="85"/>
        <v>1000</v>
      </c>
      <c r="K95" s="546"/>
      <c r="L95" s="547"/>
      <c r="M95" s="548">
        <v>0.5</v>
      </c>
      <c r="N95" s="548"/>
      <c r="O95" s="548"/>
      <c r="P95" s="663" t="str">
        <f t="shared" si="86"/>
        <v>-</v>
      </c>
      <c r="Q95" s="663"/>
      <c r="R95" s="672" t="str">
        <f t="shared" si="87"/>
        <v>-</v>
      </c>
      <c r="S95" s="673"/>
      <c r="T95" s="663" t="str">
        <f t="shared" si="88"/>
        <v>-</v>
      </c>
      <c r="U95" s="663"/>
      <c r="V95" s="663" t="str">
        <f t="shared" si="89"/>
        <v>-</v>
      </c>
      <c r="W95" s="663"/>
      <c r="X95" s="663">
        <f t="shared" si="90"/>
        <v>1610</v>
      </c>
      <c r="Y95" s="663"/>
      <c r="Z95" s="663" t="str">
        <f t="shared" si="91"/>
        <v>-</v>
      </c>
      <c r="AA95" s="663"/>
      <c r="AB95" s="663" t="str">
        <f t="shared" si="92"/>
        <v>-</v>
      </c>
      <c r="AC95" s="663"/>
      <c r="AD95" s="663">
        <f t="shared" si="93"/>
        <v>1720</v>
      </c>
      <c r="AE95" s="663"/>
      <c r="AF95" s="663" t="str">
        <f t="shared" si="94"/>
        <v>-</v>
      </c>
      <c r="AG95" s="663"/>
      <c r="AH95" s="548">
        <f t="shared" si="95"/>
        <v>1770</v>
      </c>
      <c r="AI95" s="548"/>
      <c r="AJ95" s="149" t="s">
        <v>441</v>
      </c>
      <c r="AK95" s="150">
        <v>1777</v>
      </c>
    </row>
    <row r="96" spans="1:43" s="148" customFormat="1" ht="20.100000000000001" customHeight="1">
      <c r="A96" s="135">
        <f t="shared" si="96"/>
        <v>64</v>
      </c>
      <c r="B96" s="146" t="s">
        <v>877</v>
      </c>
      <c r="C96" s="403" t="s">
        <v>893</v>
      </c>
      <c r="D96" s="147" t="str">
        <f t="shared" si="83"/>
        <v>~220В</v>
      </c>
      <c r="E96" s="545" t="s">
        <v>879</v>
      </c>
      <c r="F96" s="546"/>
      <c r="G96" s="250" t="str">
        <f t="shared" si="84"/>
        <v xml:space="preserve"> </v>
      </c>
      <c r="H96" s="249" t="s">
        <v>880</v>
      </c>
      <c r="I96" s="147">
        <v>1.5</v>
      </c>
      <c r="J96" s="548">
        <f t="shared" si="85"/>
        <v>1000</v>
      </c>
      <c r="K96" s="546"/>
      <c r="L96" s="547"/>
      <c r="M96" s="548">
        <v>0.5</v>
      </c>
      <c r="N96" s="548"/>
      <c r="O96" s="548"/>
      <c r="P96" s="663" t="str">
        <f t="shared" si="86"/>
        <v>-</v>
      </c>
      <c r="Q96" s="663"/>
      <c r="R96" s="672" t="str">
        <f t="shared" si="87"/>
        <v>-</v>
      </c>
      <c r="S96" s="673"/>
      <c r="T96" s="663" t="str">
        <f t="shared" si="88"/>
        <v>-</v>
      </c>
      <c r="U96" s="663"/>
      <c r="V96" s="663" t="str">
        <f t="shared" si="89"/>
        <v>-</v>
      </c>
      <c r="W96" s="663"/>
      <c r="X96" s="663" t="str">
        <f t="shared" si="90"/>
        <v>-</v>
      </c>
      <c r="Y96" s="663"/>
      <c r="Z96" s="663">
        <f t="shared" si="91"/>
        <v>2070</v>
      </c>
      <c r="AA96" s="663"/>
      <c r="AB96" s="663" t="str">
        <f t="shared" si="92"/>
        <v>-</v>
      </c>
      <c r="AC96" s="663"/>
      <c r="AD96" s="663" t="str">
        <f t="shared" si="93"/>
        <v>-</v>
      </c>
      <c r="AE96" s="663"/>
      <c r="AF96" s="663">
        <f t="shared" si="94"/>
        <v>2090</v>
      </c>
      <c r="AG96" s="663"/>
      <c r="AH96" s="548">
        <f t="shared" si="95"/>
        <v>1990</v>
      </c>
      <c r="AI96" s="548"/>
      <c r="AJ96" s="149" t="s">
        <v>449</v>
      </c>
      <c r="AK96" s="150">
        <v>1999</v>
      </c>
    </row>
    <row r="97" spans="1:37" s="148" customFormat="1" ht="20.100000000000001" customHeight="1">
      <c r="A97" s="135">
        <f t="shared" si="96"/>
        <v>65</v>
      </c>
      <c r="B97" s="146" t="s">
        <v>877</v>
      </c>
      <c r="C97" s="403" t="s">
        <v>894</v>
      </c>
      <c r="D97" s="147" t="str">
        <f t="shared" si="83"/>
        <v>~220В</v>
      </c>
      <c r="E97" s="545" t="s">
        <v>879</v>
      </c>
      <c r="F97" s="546"/>
      <c r="G97" s="250" t="str">
        <f t="shared" si="84"/>
        <v xml:space="preserve"> </v>
      </c>
      <c r="H97" s="249" t="s">
        <v>880</v>
      </c>
      <c r="I97" s="147">
        <v>1.5</v>
      </c>
      <c r="J97" s="548">
        <f t="shared" si="85"/>
        <v>1000</v>
      </c>
      <c r="K97" s="546"/>
      <c r="L97" s="547"/>
      <c r="M97" s="548">
        <v>0.5</v>
      </c>
      <c r="N97" s="548"/>
      <c r="O97" s="548"/>
      <c r="P97" s="663" t="str">
        <f t="shared" si="86"/>
        <v>-</v>
      </c>
      <c r="Q97" s="663"/>
      <c r="R97" s="672" t="str">
        <f t="shared" si="87"/>
        <v>-</v>
      </c>
      <c r="S97" s="673"/>
      <c r="T97" s="663" t="str">
        <f t="shared" si="88"/>
        <v>-</v>
      </c>
      <c r="U97" s="663"/>
      <c r="V97" s="663">
        <f t="shared" si="89"/>
        <v>1940</v>
      </c>
      <c r="W97" s="663"/>
      <c r="X97" s="663" t="str">
        <f t="shared" si="90"/>
        <v>-</v>
      </c>
      <c r="Y97" s="663"/>
      <c r="Z97" s="663" t="str">
        <f t="shared" si="91"/>
        <v>-</v>
      </c>
      <c r="AA97" s="663"/>
      <c r="AB97" s="663">
        <f t="shared" si="92"/>
        <v>2210</v>
      </c>
      <c r="AC97" s="663"/>
      <c r="AD97" s="663" t="str">
        <f t="shared" si="93"/>
        <v>-</v>
      </c>
      <c r="AE97" s="663"/>
      <c r="AF97" s="663" t="str">
        <f t="shared" si="94"/>
        <v>-</v>
      </c>
      <c r="AG97" s="663"/>
      <c r="AH97" s="548">
        <f t="shared" si="95"/>
        <v>2060</v>
      </c>
      <c r="AI97" s="548"/>
      <c r="AJ97" s="149" t="s">
        <v>448</v>
      </c>
      <c r="AK97" s="150">
        <v>2066</v>
      </c>
    </row>
    <row r="98" spans="1:37" s="148" customFormat="1" ht="20.100000000000001" customHeight="1">
      <c r="A98" s="135">
        <f t="shared" si="96"/>
        <v>66</v>
      </c>
      <c r="B98" s="146" t="s">
        <v>877</v>
      </c>
      <c r="C98" s="403" t="s">
        <v>895</v>
      </c>
      <c r="D98" s="147" t="str">
        <f t="shared" si="83"/>
        <v>~220В</v>
      </c>
      <c r="E98" s="545" t="s">
        <v>879</v>
      </c>
      <c r="F98" s="546"/>
      <c r="G98" s="250" t="str">
        <f t="shared" si="84"/>
        <v xml:space="preserve"> </v>
      </c>
      <c r="H98" s="249" t="s">
        <v>880</v>
      </c>
      <c r="I98" s="147">
        <v>1.5</v>
      </c>
      <c r="J98" s="548">
        <f t="shared" si="85"/>
        <v>1000</v>
      </c>
      <c r="K98" s="546"/>
      <c r="L98" s="547"/>
      <c r="M98" s="548">
        <v>0.5</v>
      </c>
      <c r="N98" s="548"/>
      <c r="O98" s="548"/>
      <c r="P98" s="663" t="str">
        <f t="shared" si="86"/>
        <v>-</v>
      </c>
      <c r="Q98" s="663"/>
      <c r="R98" s="672" t="str">
        <f t="shared" si="87"/>
        <v>-</v>
      </c>
      <c r="S98" s="673"/>
      <c r="T98" s="663" t="str">
        <f t="shared" si="88"/>
        <v>-</v>
      </c>
      <c r="U98" s="663"/>
      <c r="V98" s="663" t="str">
        <f t="shared" si="89"/>
        <v>-</v>
      </c>
      <c r="W98" s="663"/>
      <c r="X98" s="663">
        <f t="shared" si="90"/>
        <v>2210</v>
      </c>
      <c r="Y98" s="663"/>
      <c r="Z98" s="663" t="str">
        <f t="shared" si="91"/>
        <v>-</v>
      </c>
      <c r="AA98" s="663"/>
      <c r="AB98" s="663" t="str">
        <f t="shared" si="92"/>
        <v>-</v>
      </c>
      <c r="AC98" s="663"/>
      <c r="AD98" s="663">
        <f t="shared" si="93"/>
        <v>2360</v>
      </c>
      <c r="AE98" s="663"/>
      <c r="AF98" s="663" t="str">
        <f t="shared" si="94"/>
        <v>-</v>
      </c>
      <c r="AG98" s="663"/>
      <c r="AH98" s="548">
        <f t="shared" si="95"/>
        <v>2430</v>
      </c>
      <c r="AI98" s="548"/>
      <c r="AJ98" s="149" t="s">
        <v>441</v>
      </c>
      <c r="AK98" s="150">
        <v>2433</v>
      </c>
    </row>
    <row r="99" spans="1:37" s="148" customFormat="1" ht="20.100000000000001" customHeight="1">
      <c r="A99" s="135">
        <f t="shared" si="96"/>
        <v>67</v>
      </c>
      <c r="B99" s="146" t="s">
        <v>877</v>
      </c>
      <c r="C99" s="403" t="s">
        <v>896</v>
      </c>
      <c r="D99" s="147" t="str">
        <f t="shared" si="83"/>
        <v>~220В</v>
      </c>
      <c r="E99" s="545" t="s">
        <v>879</v>
      </c>
      <c r="F99" s="546"/>
      <c r="G99" s="250" t="str">
        <f t="shared" si="84"/>
        <v xml:space="preserve"> </v>
      </c>
      <c r="H99" s="249" t="s">
        <v>880</v>
      </c>
      <c r="I99" s="147">
        <v>1.5</v>
      </c>
      <c r="J99" s="548">
        <f t="shared" si="85"/>
        <v>1000</v>
      </c>
      <c r="K99" s="546"/>
      <c r="L99" s="547"/>
      <c r="M99" s="548">
        <v>0.5</v>
      </c>
      <c r="N99" s="548"/>
      <c r="O99" s="548"/>
      <c r="P99" s="663" t="str">
        <f t="shared" si="86"/>
        <v>-</v>
      </c>
      <c r="Q99" s="663"/>
      <c r="R99" s="672" t="str">
        <f t="shared" si="87"/>
        <v>-</v>
      </c>
      <c r="S99" s="673"/>
      <c r="T99" s="663" t="str">
        <f t="shared" si="88"/>
        <v>-</v>
      </c>
      <c r="U99" s="663"/>
      <c r="V99" s="663" t="str">
        <f t="shared" si="89"/>
        <v>-</v>
      </c>
      <c r="W99" s="663"/>
      <c r="X99" s="663" t="str">
        <f t="shared" si="90"/>
        <v>-</v>
      </c>
      <c r="Y99" s="663"/>
      <c r="Z99" s="663">
        <f t="shared" si="91"/>
        <v>2250</v>
      </c>
      <c r="AA99" s="663"/>
      <c r="AB99" s="663" t="str">
        <f t="shared" si="92"/>
        <v>-</v>
      </c>
      <c r="AC99" s="663"/>
      <c r="AD99" s="663" t="str">
        <f t="shared" si="93"/>
        <v>-</v>
      </c>
      <c r="AE99" s="663"/>
      <c r="AF99" s="663">
        <f t="shared" si="94"/>
        <v>2270</v>
      </c>
      <c r="AG99" s="663"/>
      <c r="AH99" s="548">
        <f t="shared" si="95"/>
        <v>2160</v>
      </c>
      <c r="AI99" s="548"/>
      <c r="AJ99" s="149" t="s">
        <v>449</v>
      </c>
      <c r="AK99" s="150">
        <v>2166</v>
      </c>
    </row>
    <row r="100" spans="1:37" s="148" customFormat="1" ht="20.100000000000001" customHeight="1">
      <c r="A100" s="135">
        <f t="shared" si="96"/>
        <v>68</v>
      </c>
      <c r="B100" s="146" t="s">
        <v>877</v>
      </c>
      <c r="C100" s="403" t="s">
        <v>897</v>
      </c>
      <c r="D100" s="147" t="str">
        <f t="shared" si="83"/>
        <v>~220В</v>
      </c>
      <c r="E100" s="545" t="s">
        <v>905</v>
      </c>
      <c r="F100" s="546"/>
      <c r="G100" s="676"/>
      <c r="H100" s="676"/>
      <c r="I100" s="677"/>
      <c r="J100" s="548">
        <f t="shared" si="85"/>
        <v>1000</v>
      </c>
      <c r="K100" s="546"/>
      <c r="L100" s="547"/>
      <c r="M100" s="548">
        <v>0.5</v>
      </c>
      <c r="N100" s="548"/>
      <c r="O100" s="548"/>
      <c r="P100" s="663" t="str">
        <f t="shared" si="86"/>
        <v>-</v>
      </c>
      <c r="Q100" s="663"/>
      <c r="R100" s="672" t="str">
        <f t="shared" si="87"/>
        <v>-</v>
      </c>
      <c r="S100" s="673"/>
      <c r="T100" s="663" t="str">
        <f t="shared" si="88"/>
        <v>-</v>
      </c>
      <c r="U100" s="663"/>
      <c r="V100" s="663">
        <f t="shared" si="89"/>
        <v>2230</v>
      </c>
      <c r="W100" s="663"/>
      <c r="X100" s="663" t="str">
        <f t="shared" si="90"/>
        <v>-</v>
      </c>
      <c r="Y100" s="663"/>
      <c r="Z100" s="663" t="str">
        <f t="shared" si="91"/>
        <v>-</v>
      </c>
      <c r="AA100" s="663"/>
      <c r="AB100" s="663">
        <f t="shared" si="92"/>
        <v>2540</v>
      </c>
      <c r="AC100" s="663"/>
      <c r="AD100" s="663" t="str">
        <f t="shared" si="93"/>
        <v>-</v>
      </c>
      <c r="AE100" s="663"/>
      <c r="AF100" s="663" t="str">
        <f t="shared" si="94"/>
        <v>-</v>
      </c>
      <c r="AG100" s="663"/>
      <c r="AH100" s="548">
        <f t="shared" si="95"/>
        <v>2370</v>
      </c>
      <c r="AI100" s="548"/>
      <c r="AJ100" s="149" t="s">
        <v>448</v>
      </c>
      <c r="AK100" s="150">
        <v>2377</v>
      </c>
    </row>
    <row r="101" spans="1:37" s="148" customFormat="1" ht="20.100000000000001" customHeight="1">
      <c r="A101" s="135"/>
      <c r="B101" s="146"/>
      <c r="C101" s="403"/>
      <c r="D101" s="147"/>
      <c r="E101" s="545"/>
      <c r="F101" s="546"/>
      <c r="G101" s="676"/>
      <c r="H101" s="676"/>
      <c r="I101" s="677"/>
      <c r="J101" s="548"/>
      <c r="K101" s="546"/>
      <c r="L101" s="547"/>
      <c r="M101" s="548"/>
      <c r="N101" s="548"/>
      <c r="O101" s="548"/>
      <c r="P101" s="663"/>
      <c r="Q101" s="663"/>
      <c r="R101" s="672"/>
      <c r="S101" s="67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63"/>
      <c r="AE101" s="663"/>
      <c r="AF101" s="663"/>
      <c r="AG101" s="663"/>
      <c r="AH101" s="548"/>
      <c r="AI101" s="548"/>
      <c r="AJ101" s="149"/>
      <c r="AK101" s="150"/>
    </row>
    <row r="102" spans="1:37" s="148" customFormat="1" ht="20.100000000000001" customHeight="1">
      <c r="A102" s="135"/>
      <c r="B102" s="146"/>
      <c r="C102" s="403"/>
      <c r="D102" s="147"/>
      <c r="E102" s="545"/>
      <c r="F102" s="546"/>
      <c r="G102" s="676"/>
      <c r="H102" s="676"/>
      <c r="I102" s="677"/>
      <c r="J102" s="548"/>
      <c r="K102" s="546"/>
      <c r="L102" s="547"/>
      <c r="M102" s="548"/>
      <c r="N102" s="548"/>
      <c r="O102" s="548"/>
      <c r="P102" s="663"/>
      <c r="Q102" s="663"/>
      <c r="R102" s="672"/>
      <c r="S102" s="67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548"/>
      <c r="AI102" s="548"/>
      <c r="AJ102" s="149"/>
      <c r="AK102" s="150"/>
    </row>
    <row r="103" spans="1:37" s="148" customFormat="1" ht="20.100000000000001" customHeight="1">
      <c r="A103" s="135"/>
      <c r="B103" s="146"/>
      <c r="C103" s="403"/>
      <c r="D103" s="147"/>
      <c r="E103" s="545"/>
      <c r="F103" s="546"/>
      <c r="G103" s="676"/>
      <c r="H103" s="676"/>
      <c r="I103" s="677"/>
      <c r="J103" s="548"/>
      <c r="K103" s="546"/>
      <c r="L103" s="547"/>
      <c r="M103" s="548"/>
      <c r="N103" s="548"/>
      <c r="O103" s="548"/>
      <c r="P103" s="663"/>
      <c r="Q103" s="663"/>
      <c r="R103" s="672"/>
      <c r="S103" s="673"/>
      <c r="T103" s="663"/>
      <c r="U103" s="663"/>
      <c r="V103" s="663"/>
      <c r="W103" s="663"/>
      <c r="X103" s="663"/>
      <c r="Y103" s="663"/>
      <c r="Z103" s="663"/>
      <c r="AA103" s="663"/>
      <c r="AB103" s="663"/>
      <c r="AC103" s="663"/>
      <c r="AD103" s="663"/>
      <c r="AE103" s="663"/>
      <c r="AF103" s="663"/>
      <c r="AG103" s="663"/>
      <c r="AH103" s="548"/>
      <c r="AI103" s="548"/>
      <c r="AJ103" s="149"/>
      <c r="AK103" s="150"/>
    </row>
    <row r="104" spans="1:37" s="148" customFormat="1" ht="20.100000000000001" customHeight="1">
      <c r="A104" s="135"/>
      <c r="B104" s="146"/>
      <c r="C104" s="403"/>
      <c r="D104" s="147"/>
      <c r="E104" s="545"/>
      <c r="F104" s="546"/>
      <c r="G104" s="676"/>
      <c r="H104" s="676"/>
      <c r="I104" s="677"/>
      <c r="J104" s="548"/>
      <c r="K104" s="546"/>
      <c r="L104" s="547"/>
      <c r="M104" s="548"/>
      <c r="N104" s="548"/>
      <c r="O104" s="548"/>
      <c r="P104" s="663"/>
      <c r="Q104" s="663"/>
      <c r="R104" s="672"/>
      <c r="S104" s="673"/>
      <c r="T104" s="663"/>
      <c r="U104" s="663"/>
      <c r="V104" s="663"/>
      <c r="W104" s="663"/>
      <c r="X104" s="663"/>
      <c r="Y104" s="663"/>
      <c r="Z104" s="663"/>
      <c r="AA104" s="663"/>
      <c r="AB104" s="663"/>
      <c r="AC104" s="663"/>
      <c r="AD104" s="663"/>
      <c r="AE104" s="663"/>
      <c r="AF104" s="663"/>
      <c r="AG104" s="663"/>
      <c r="AH104" s="548"/>
      <c r="AI104" s="548"/>
      <c r="AJ104" s="149"/>
      <c r="AK104" s="150"/>
    </row>
    <row r="105" spans="1:37" s="148" customFormat="1" ht="20.100000000000001" customHeight="1">
      <c r="A105" s="135"/>
      <c r="B105" s="146"/>
      <c r="C105" s="403"/>
      <c r="D105" s="147"/>
      <c r="E105" s="545"/>
      <c r="F105" s="546"/>
      <c r="G105" s="676"/>
      <c r="H105" s="676"/>
      <c r="I105" s="677"/>
      <c r="J105" s="548"/>
      <c r="K105" s="546"/>
      <c r="L105" s="547"/>
      <c r="M105" s="548"/>
      <c r="N105" s="548"/>
      <c r="O105" s="548"/>
      <c r="P105" s="663"/>
      <c r="Q105" s="663"/>
      <c r="R105" s="672"/>
      <c r="S105" s="673"/>
      <c r="T105" s="663"/>
      <c r="U105" s="663"/>
      <c r="V105" s="663"/>
      <c r="W105" s="663"/>
      <c r="X105" s="663"/>
      <c r="Y105" s="663"/>
      <c r="Z105" s="663"/>
      <c r="AA105" s="663"/>
      <c r="AB105" s="663"/>
      <c r="AC105" s="663"/>
      <c r="AD105" s="663"/>
      <c r="AE105" s="663"/>
      <c r="AF105" s="663"/>
      <c r="AG105" s="663"/>
      <c r="AH105" s="548"/>
      <c r="AI105" s="548"/>
      <c r="AJ105" s="149"/>
      <c r="AK105" s="150"/>
    </row>
    <row r="106" spans="1:37" ht="21.75" customHeight="1">
      <c r="A106" s="641" t="s">
        <v>841</v>
      </c>
      <c r="B106" s="641"/>
      <c r="C106" s="641"/>
      <c r="D106" s="641"/>
      <c r="E106" s="641"/>
      <c r="F106" s="641"/>
      <c r="G106" s="641"/>
      <c r="H106" s="641"/>
      <c r="I106" s="641"/>
      <c r="J106" s="641"/>
      <c r="K106" s="641"/>
      <c r="L106" s="641"/>
      <c r="M106" s="641"/>
      <c r="N106" s="641"/>
      <c r="O106" s="641"/>
      <c r="P106" s="641"/>
      <c r="Q106" s="641"/>
      <c r="R106" s="641"/>
      <c r="S106" s="641"/>
      <c r="T106" s="641"/>
      <c r="U106" s="641"/>
      <c r="V106" s="641"/>
      <c r="AJ106" s="134"/>
      <c r="AK106" s="144"/>
    </row>
    <row r="107" spans="1:37" ht="27" customHeight="1">
      <c r="A107" s="460" t="s">
        <v>540</v>
      </c>
      <c r="B107" s="453" t="s">
        <v>541</v>
      </c>
      <c r="C107" s="454"/>
      <c r="D107" s="453" t="s">
        <v>911</v>
      </c>
      <c r="E107" s="680"/>
      <c r="F107" s="680"/>
      <c r="G107" s="454"/>
      <c r="H107" s="457" t="s">
        <v>544</v>
      </c>
      <c r="I107" s="459"/>
      <c r="J107" s="459"/>
      <c r="K107" s="459"/>
      <c r="L107" s="459"/>
      <c r="M107" s="459"/>
      <c r="N107" s="459"/>
      <c r="O107" s="458"/>
      <c r="P107" s="457" t="s">
        <v>545</v>
      </c>
      <c r="Q107" s="459"/>
      <c r="R107" s="459"/>
      <c r="S107" s="459"/>
      <c r="T107" s="459"/>
      <c r="U107" s="459"/>
      <c r="V107" s="459"/>
      <c r="W107" s="458"/>
      <c r="X107" s="453" t="s">
        <v>546</v>
      </c>
      <c r="Y107" s="680"/>
      <c r="Z107" s="680"/>
      <c r="AA107" s="680"/>
      <c r="AB107" s="454"/>
      <c r="AC107" s="679" t="s">
        <v>912</v>
      </c>
      <c r="AD107" s="679"/>
      <c r="AE107" s="679"/>
      <c r="AF107" s="679"/>
      <c r="AG107" s="679"/>
      <c r="AH107" s="679"/>
      <c r="AI107" s="679"/>
      <c r="AJ107" s="137"/>
    </row>
    <row r="108" spans="1:37" ht="30" customHeight="1">
      <c r="A108" s="461"/>
      <c r="B108" s="455"/>
      <c r="C108" s="456"/>
      <c r="D108" s="455"/>
      <c r="E108" s="681"/>
      <c r="F108" s="681"/>
      <c r="G108" s="456"/>
      <c r="H108" s="457" t="s">
        <v>548</v>
      </c>
      <c r="I108" s="459"/>
      <c r="J108" s="459"/>
      <c r="K108" s="458"/>
      <c r="L108" s="457" t="s">
        <v>549</v>
      </c>
      <c r="M108" s="459"/>
      <c r="N108" s="459"/>
      <c r="O108" s="458"/>
      <c r="P108" s="457" t="s">
        <v>550</v>
      </c>
      <c r="Q108" s="459"/>
      <c r="R108" s="459"/>
      <c r="S108" s="458"/>
      <c r="T108" s="457" t="s">
        <v>551</v>
      </c>
      <c r="U108" s="459"/>
      <c r="V108" s="459"/>
      <c r="W108" s="458"/>
      <c r="X108" s="455"/>
      <c r="Y108" s="681"/>
      <c r="Z108" s="681"/>
      <c r="AA108" s="681"/>
      <c r="AB108" s="456"/>
      <c r="AC108" s="679"/>
      <c r="AD108" s="679"/>
      <c r="AE108" s="679"/>
      <c r="AF108" s="679"/>
      <c r="AG108" s="679"/>
      <c r="AH108" s="679"/>
      <c r="AI108" s="679"/>
      <c r="AJ108" s="137"/>
    </row>
    <row r="109" spans="1:37" ht="39.950000000000003" customHeight="1">
      <c r="A109" s="56">
        <v>1</v>
      </c>
      <c r="B109" s="457" t="str">
        <f ca="1">'Исходник '!B56</f>
        <v>MPI-520</v>
      </c>
      <c r="C109" s="458"/>
      <c r="D109" s="457">
        <f ca="1">'Исходник '!C56</f>
        <v>723895</v>
      </c>
      <c r="E109" s="459"/>
      <c r="F109" s="459"/>
      <c r="G109" s="458"/>
      <c r="H109" s="457" t="str">
        <f ca="1">'Исходник '!F57</f>
        <v>0…3 ГОм (1 кОм)</v>
      </c>
      <c r="I109" s="459"/>
      <c r="J109" s="459"/>
      <c r="K109" s="458"/>
      <c r="L109" s="457" t="str">
        <f ca="1">'Исходник '!H57</f>
        <v>± (3% Riso+8 е.м.р.)</v>
      </c>
      <c r="M109" s="459"/>
      <c r="N109" s="459"/>
      <c r="O109" s="458"/>
      <c r="P109" s="487">
        <f ca="1">'Исходник '!J56</f>
        <v>43530</v>
      </c>
      <c r="Q109" s="678"/>
      <c r="R109" s="678"/>
      <c r="S109" s="488"/>
      <c r="T109" s="487">
        <f ca="1">'Исходник '!L56</f>
        <v>43895</v>
      </c>
      <c r="U109" s="678"/>
      <c r="V109" s="678"/>
      <c r="W109" s="488"/>
      <c r="X109" s="457" t="str">
        <f ca="1">'Исходник '!N56</f>
        <v>№18182-А</v>
      </c>
      <c r="Y109" s="459"/>
      <c r="Z109" s="459"/>
      <c r="AA109" s="459"/>
      <c r="AB109" s="458"/>
      <c r="AC109" s="679" t="str">
        <f ca="1">'Исходник '!P56</f>
        <v>ООО "СОНЕЛ"</v>
      </c>
      <c r="AD109" s="679"/>
      <c r="AE109" s="679"/>
      <c r="AF109" s="679"/>
      <c r="AG109" s="679"/>
      <c r="AH109" s="679"/>
      <c r="AI109" s="679"/>
      <c r="AJ109" s="137"/>
    </row>
    <row r="110" spans="1:37" ht="39.950000000000003" customHeight="1">
      <c r="A110" s="56">
        <v>2</v>
      </c>
      <c r="B110" s="457" t="str">
        <f ca="1">'Исходник '!B61</f>
        <v>ИВТМ-7</v>
      </c>
      <c r="C110" s="458"/>
      <c r="D110" s="457">
        <f ca="1">'Исходник '!C61</f>
        <v>20084</v>
      </c>
      <c r="E110" s="459"/>
      <c r="F110" s="459"/>
      <c r="G110" s="458"/>
      <c r="H110" s="457" t="str">
        <f ca="1">'Исходник '!F61</f>
        <v>0-99 %
-20 +60 0С</v>
      </c>
      <c r="I110" s="459"/>
      <c r="J110" s="459"/>
      <c r="K110" s="458"/>
      <c r="L110" s="457" t="str">
        <f ca="1">'Исходник '!H61</f>
        <v>± 2%
± 0,2 0С</v>
      </c>
      <c r="M110" s="459"/>
      <c r="N110" s="459"/>
      <c r="O110" s="458"/>
      <c r="P110" s="487">
        <f ca="1">'Исходник '!J61</f>
        <v>43517</v>
      </c>
      <c r="Q110" s="678"/>
      <c r="R110" s="678"/>
      <c r="S110" s="488"/>
      <c r="T110" s="487" t="str">
        <f ca="1">'Исходник '!L61</f>
        <v>21.02.2020.</v>
      </c>
      <c r="U110" s="678"/>
      <c r="V110" s="678"/>
      <c r="W110" s="488"/>
      <c r="X110" s="457" t="str">
        <f ca="1">'Исходник '!N61</f>
        <v>№197</v>
      </c>
      <c r="Y110" s="459"/>
      <c r="Z110" s="459"/>
      <c r="AA110" s="459"/>
      <c r="AB110" s="458"/>
      <c r="AC110" s="679" t="str">
        <f ca="1">'Исходник '!P61</f>
        <v>ООО НПК "АВИАПРИБОР"</v>
      </c>
      <c r="AD110" s="679"/>
      <c r="AE110" s="679"/>
      <c r="AF110" s="679"/>
      <c r="AG110" s="679"/>
      <c r="AH110" s="679"/>
      <c r="AI110" s="679"/>
      <c r="AJ110" s="137"/>
    </row>
    <row r="111" spans="1:37" ht="39.950000000000003" customHeight="1">
      <c r="A111" s="56">
        <v>3</v>
      </c>
      <c r="B111" s="457" t="str">
        <f ca="1">'Исходник '!B62</f>
        <v>Барометр М 67</v>
      </c>
      <c r="C111" s="458"/>
      <c r="D111" s="457">
        <f ca="1">'Исходник '!C62</f>
        <v>74</v>
      </c>
      <c r="E111" s="459"/>
      <c r="F111" s="459"/>
      <c r="G111" s="458"/>
      <c r="H111" s="457" t="str">
        <f ca="1">'Исходник '!F62</f>
        <v>610-790
 мм.рт.ст</v>
      </c>
      <c r="I111" s="459"/>
      <c r="J111" s="459"/>
      <c r="K111" s="458"/>
      <c r="L111" s="457" t="str">
        <f ca="1">'Исходник '!H62</f>
        <v>± 0,8 мм.рт.ст.</v>
      </c>
      <c r="M111" s="459"/>
      <c r="N111" s="459"/>
      <c r="O111" s="458"/>
      <c r="P111" s="487">
        <f ca="1">'Исходник '!J62</f>
        <v>43517</v>
      </c>
      <c r="Q111" s="678"/>
      <c r="R111" s="678"/>
      <c r="S111" s="488"/>
      <c r="T111" s="487" t="str">
        <f ca="1">'Исходник '!L62</f>
        <v>21.02.2020.</v>
      </c>
      <c r="U111" s="678"/>
      <c r="V111" s="678"/>
      <c r="W111" s="488"/>
      <c r="X111" s="457" t="str">
        <f ca="1">'Исходник '!N62</f>
        <v>№200</v>
      </c>
      <c r="Y111" s="459"/>
      <c r="Z111" s="459"/>
      <c r="AA111" s="459"/>
      <c r="AB111" s="458"/>
      <c r="AC111" s="679" t="str">
        <f ca="1">'Исходник '!P62</f>
        <v>ООО НПК "АВИАПРИБОР"</v>
      </c>
      <c r="AD111" s="679"/>
      <c r="AE111" s="679"/>
      <c r="AF111" s="679"/>
      <c r="AG111" s="679"/>
      <c r="AH111" s="679"/>
      <c r="AI111" s="679"/>
      <c r="AJ111" s="137"/>
    </row>
    <row r="112" spans="1:37" ht="39.950000000000003" customHeight="1">
      <c r="A112" s="56">
        <v>4</v>
      </c>
      <c r="B112" s="457" t="str">
        <f ca="1">'Исходник '!B64</f>
        <v>MIC-2500</v>
      </c>
      <c r="C112" s="458"/>
      <c r="D112" s="457">
        <f ca="1">'Исходник '!C64</f>
        <v>248181</v>
      </c>
      <c r="E112" s="459"/>
      <c r="F112" s="459"/>
      <c r="G112" s="458"/>
      <c r="H112" s="457" t="str">
        <f ca="1">'Исходник '!F64</f>
        <v>50,00 кОм…110,0 Гом
(0,01 кОм…0,1 Гом)</v>
      </c>
      <c r="I112" s="459"/>
      <c r="J112" s="459"/>
      <c r="K112" s="458"/>
      <c r="L112" s="457" t="str">
        <f ca="1">'Исходник '!H64</f>
        <v>± (3% и.в.+20 е.м.р.)</v>
      </c>
      <c r="M112" s="459"/>
      <c r="N112" s="459"/>
      <c r="O112" s="458"/>
      <c r="P112" s="487">
        <f ca="1">'Исходник '!J64</f>
        <v>43553</v>
      </c>
      <c r="Q112" s="678"/>
      <c r="R112" s="678"/>
      <c r="S112" s="488"/>
      <c r="T112" s="487">
        <f ca="1">'Исходник '!L64</f>
        <v>43919</v>
      </c>
      <c r="U112" s="678"/>
      <c r="V112" s="678"/>
      <c r="W112" s="488"/>
      <c r="X112" s="457" t="str">
        <f ca="1">'Исходник '!N64</f>
        <v>№301</v>
      </c>
      <c r="Y112" s="459"/>
      <c r="Z112" s="459"/>
      <c r="AA112" s="459"/>
      <c r="AB112" s="458"/>
      <c r="AC112" s="679" t="str">
        <f ca="1">'Исходник '!P64</f>
        <v>ООО НПК "АВИАПРИБОР"</v>
      </c>
      <c r="AD112" s="679"/>
      <c r="AE112" s="679"/>
      <c r="AF112" s="679"/>
      <c r="AG112" s="679"/>
      <c r="AH112" s="679"/>
      <c r="AI112" s="679"/>
      <c r="AJ112" s="137"/>
    </row>
    <row r="113" spans="1:40" ht="19.5" customHeight="1">
      <c r="A113" s="64" t="s">
        <v>913</v>
      </c>
      <c r="B113" s="137"/>
      <c r="C113" s="684"/>
      <c r="D113" s="685"/>
      <c r="E113" s="685"/>
      <c r="F113" s="685"/>
      <c r="G113" s="685"/>
      <c r="H113" s="685"/>
      <c r="I113" s="685"/>
      <c r="J113" s="685"/>
      <c r="K113" s="685"/>
      <c r="L113" s="685"/>
      <c r="M113" s="685"/>
      <c r="N113" s="685"/>
      <c r="O113" s="685"/>
      <c r="P113" s="685"/>
      <c r="Q113" s="685"/>
      <c r="R113" s="685"/>
      <c r="S113" s="685"/>
      <c r="T113" s="685"/>
      <c r="U113" s="685"/>
      <c r="V113" s="685"/>
      <c r="W113" s="685"/>
      <c r="X113" s="685"/>
      <c r="Y113" s="685"/>
      <c r="Z113" s="685"/>
      <c r="AA113" s="685"/>
      <c r="AB113" s="685"/>
      <c r="AC113" s="685"/>
      <c r="AD113" s="685"/>
      <c r="AE113" s="685"/>
      <c r="AF113" s="685"/>
      <c r="AG113" s="685"/>
      <c r="AH113" s="685"/>
      <c r="AI113" s="685"/>
      <c r="AJ113" s="137"/>
      <c r="AK113" s="137"/>
      <c r="AN113"/>
    </row>
    <row r="114" spans="1:40" ht="18" customHeight="1">
      <c r="A114" s="79" t="s">
        <v>789</v>
      </c>
      <c r="B114" s="79"/>
      <c r="C114" s="686" t="s">
        <v>914</v>
      </c>
      <c r="D114" s="686"/>
      <c r="E114" s="686"/>
      <c r="F114" s="686"/>
      <c r="G114" s="686"/>
      <c r="H114" s="686"/>
      <c r="I114" s="686"/>
      <c r="J114" s="686"/>
      <c r="K114" s="686"/>
      <c r="L114" s="686"/>
      <c r="M114" s="686"/>
      <c r="N114" s="686"/>
      <c r="O114" s="686"/>
      <c r="P114" s="686"/>
      <c r="Q114" s="686"/>
      <c r="R114" s="686"/>
      <c r="S114" s="686"/>
      <c r="T114" s="686"/>
      <c r="U114" s="686"/>
      <c r="V114" s="686"/>
      <c r="W114" s="686"/>
      <c r="X114" s="686"/>
      <c r="Y114" s="686"/>
      <c r="Z114" s="686"/>
      <c r="AA114" s="686"/>
      <c r="AB114" s="686"/>
      <c r="AC114" s="686"/>
      <c r="AD114" s="686"/>
      <c r="AE114" s="686"/>
      <c r="AF114" s="686"/>
      <c r="AG114" s="686"/>
      <c r="AH114" s="686"/>
      <c r="AI114" s="686"/>
      <c r="AJ114" s="137"/>
      <c r="AN114"/>
    </row>
    <row r="115" spans="1:40" ht="23.25" customHeight="1">
      <c r="A115" s="682" t="s">
        <v>790</v>
      </c>
      <c r="B115" s="682"/>
      <c r="C115" s="682"/>
      <c r="D115" s="632" t="s">
        <v>749</v>
      </c>
      <c r="E115" s="632"/>
      <c r="F115" s="632"/>
      <c r="G115" s="632"/>
      <c r="H115" s="632"/>
      <c r="I115" s="632"/>
      <c r="J115" s="632"/>
      <c r="N115" s="632"/>
      <c r="O115" s="632"/>
      <c r="P115" s="632"/>
      <c r="Q115" s="632"/>
      <c r="R115" s="632"/>
      <c r="S115" s="632"/>
      <c r="T115" s="632"/>
      <c r="X115" s="632" t="str">
        <f ca="1">'Исходник '!B12</f>
        <v>Евдокимов А.О.</v>
      </c>
      <c r="Y115" s="632"/>
      <c r="Z115" s="632"/>
      <c r="AA115" s="632"/>
      <c r="AB115" s="632"/>
      <c r="AC115" s="632"/>
      <c r="AD115" s="632"/>
      <c r="AE115" s="632"/>
      <c r="AF115" s="632"/>
      <c r="AJ115" s="137"/>
      <c r="AN115"/>
    </row>
    <row r="116" spans="1:40" ht="18" customHeight="1">
      <c r="A116" s="58"/>
      <c r="B116" s="58"/>
      <c r="C116" s="58"/>
      <c r="D116" s="607" t="s">
        <v>751</v>
      </c>
      <c r="E116" s="607"/>
      <c r="F116" s="607"/>
      <c r="G116" s="607"/>
      <c r="H116" s="607"/>
      <c r="I116" s="607"/>
      <c r="J116" s="607"/>
      <c r="K116" s="58"/>
      <c r="L116" s="58"/>
      <c r="M116" s="58"/>
      <c r="N116" s="607" t="s">
        <v>653</v>
      </c>
      <c r="O116" s="607"/>
      <c r="P116" s="607"/>
      <c r="Q116" s="607"/>
      <c r="R116" s="607"/>
      <c r="S116" s="607"/>
      <c r="T116" s="607"/>
      <c r="U116" s="58"/>
      <c r="V116" s="58"/>
      <c r="X116" s="607" t="s">
        <v>791</v>
      </c>
      <c r="Y116" s="607"/>
      <c r="Z116" s="607"/>
      <c r="AA116" s="607"/>
      <c r="AB116" s="607"/>
      <c r="AC116" s="607"/>
      <c r="AD116" s="607"/>
      <c r="AE116" s="607"/>
      <c r="AF116" s="607"/>
      <c r="AG116" s="58"/>
      <c r="AH116" s="58"/>
      <c r="AJ116" s="137"/>
      <c r="AN116"/>
    </row>
    <row r="117" spans="1:40" ht="18" customHeight="1">
      <c r="A117" s="23"/>
      <c r="B117" s="23"/>
      <c r="C117" s="23"/>
      <c r="D117" s="632" t="s">
        <v>792</v>
      </c>
      <c r="E117" s="632"/>
      <c r="F117" s="632"/>
      <c r="G117" s="632"/>
      <c r="H117" s="632"/>
      <c r="I117" s="632"/>
      <c r="J117" s="632"/>
      <c r="K117" s="57"/>
      <c r="L117" s="57"/>
      <c r="M117" s="57"/>
      <c r="N117" s="632"/>
      <c r="O117" s="632"/>
      <c r="P117" s="632"/>
      <c r="Q117" s="632"/>
      <c r="R117" s="632"/>
      <c r="S117" s="632"/>
      <c r="T117" s="632"/>
      <c r="U117" s="57"/>
      <c r="V117" s="57"/>
      <c r="W117" s="88"/>
      <c r="X117" s="632" t="str">
        <f ca="1">'Исходник '!B13</f>
        <v>Кокшаров С.В.</v>
      </c>
      <c r="Y117" s="632"/>
      <c r="Z117" s="632"/>
      <c r="AA117" s="632"/>
      <c r="AB117" s="632"/>
      <c r="AC117" s="632"/>
      <c r="AD117" s="632"/>
      <c r="AE117" s="632"/>
      <c r="AF117" s="632"/>
      <c r="AG117" s="57"/>
      <c r="AH117" s="57"/>
      <c r="AJ117" s="134"/>
      <c r="AN117"/>
    </row>
    <row r="118" spans="1:40" ht="18" customHeight="1">
      <c r="A118" s="24"/>
      <c r="B118" s="24"/>
      <c r="C118" s="24"/>
      <c r="D118" s="607" t="s">
        <v>751</v>
      </c>
      <c r="E118" s="607"/>
      <c r="F118" s="607"/>
      <c r="G118" s="607"/>
      <c r="H118" s="607"/>
      <c r="I118" s="607"/>
      <c r="J118" s="607"/>
      <c r="K118" s="58"/>
      <c r="L118" s="58"/>
      <c r="M118" s="58"/>
      <c r="N118" s="607" t="s">
        <v>653</v>
      </c>
      <c r="O118" s="607"/>
      <c r="P118" s="607"/>
      <c r="Q118" s="607"/>
      <c r="R118" s="607"/>
      <c r="S118" s="607"/>
      <c r="T118" s="607"/>
      <c r="U118" s="58"/>
      <c r="V118" s="58"/>
      <c r="W118" s="88"/>
      <c r="X118" s="607" t="s">
        <v>791</v>
      </c>
      <c r="Y118" s="607"/>
      <c r="Z118" s="607"/>
      <c r="AA118" s="607"/>
      <c r="AB118" s="607"/>
      <c r="AC118" s="607"/>
      <c r="AD118" s="607"/>
      <c r="AE118" s="607"/>
      <c r="AF118" s="607"/>
      <c r="AG118" s="65"/>
      <c r="AH118" s="65"/>
      <c r="AJ118" s="137"/>
      <c r="AN118"/>
    </row>
    <row r="119" spans="1:40" ht="18" customHeight="1">
      <c r="A119" s="682" t="s">
        <v>793</v>
      </c>
      <c r="B119" s="682"/>
      <c r="C119" s="682"/>
      <c r="D119" s="632" t="s">
        <v>749</v>
      </c>
      <c r="E119" s="632"/>
      <c r="F119" s="632"/>
      <c r="G119" s="632"/>
      <c r="H119" s="632"/>
      <c r="I119" s="632"/>
      <c r="J119" s="632"/>
      <c r="K119" s="57"/>
      <c r="L119" s="57"/>
      <c r="M119" s="57"/>
      <c r="N119" s="632"/>
      <c r="O119" s="632"/>
      <c r="P119" s="632"/>
      <c r="Q119" s="632"/>
      <c r="R119" s="632"/>
      <c r="S119" s="632"/>
      <c r="T119" s="632"/>
      <c r="U119" s="57"/>
      <c r="V119" s="57"/>
      <c r="W119" s="88"/>
      <c r="X119" s="632" t="str">
        <f ca="1">'Исходник '!B12</f>
        <v>Евдокимов А.О.</v>
      </c>
      <c r="Y119" s="632"/>
      <c r="Z119" s="632"/>
      <c r="AA119" s="632"/>
      <c r="AB119" s="632"/>
      <c r="AC119" s="632"/>
      <c r="AD119" s="632"/>
      <c r="AE119" s="632"/>
      <c r="AF119" s="632"/>
      <c r="AG119" s="57"/>
      <c r="AH119" s="57"/>
      <c r="AJ119" s="137"/>
      <c r="AN119"/>
    </row>
    <row r="120" spans="1:40" ht="18" customHeight="1">
      <c r="A120" s="58"/>
      <c r="B120" s="58"/>
      <c r="C120" s="58"/>
      <c r="D120" s="607" t="s">
        <v>751</v>
      </c>
      <c r="E120" s="607"/>
      <c r="F120" s="607"/>
      <c r="G120" s="607"/>
      <c r="H120" s="607"/>
      <c r="I120" s="607"/>
      <c r="J120" s="607"/>
      <c r="K120" s="58"/>
      <c r="L120" s="58"/>
      <c r="M120" s="58"/>
      <c r="N120" s="607" t="s">
        <v>653</v>
      </c>
      <c r="O120" s="607"/>
      <c r="P120" s="607"/>
      <c r="Q120" s="607"/>
      <c r="R120" s="607"/>
      <c r="S120" s="607"/>
      <c r="T120" s="607"/>
      <c r="U120" s="58"/>
      <c r="V120" s="58"/>
      <c r="X120" s="607" t="s">
        <v>791</v>
      </c>
      <c r="Y120" s="607"/>
      <c r="Z120" s="607"/>
      <c r="AA120" s="607"/>
      <c r="AB120" s="607"/>
      <c r="AC120" s="607"/>
      <c r="AD120" s="607"/>
      <c r="AE120" s="607"/>
      <c r="AF120" s="607"/>
      <c r="AG120" s="58"/>
      <c r="AH120" s="58"/>
      <c r="AJ120" s="137"/>
      <c r="AN120"/>
    </row>
    <row r="121" spans="1:40" s="89" customFormat="1" ht="12.95" customHeight="1">
      <c r="A121" s="683" t="s">
        <v>794</v>
      </c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3"/>
      <c r="N121" s="683"/>
      <c r="O121" s="683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683"/>
      <c r="AB121" s="683"/>
      <c r="AC121" s="683"/>
      <c r="AD121" s="683"/>
      <c r="AE121" s="683"/>
      <c r="AF121" s="683"/>
      <c r="AG121" s="683"/>
      <c r="AH121" s="683"/>
      <c r="AI121" s="683"/>
      <c r="AJ121" s="134"/>
      <c r="AN121" s="90"/>
    </row>
    <row r="122" spans="1:40" s="27" customFormat="1" ht="12.95" customHeight="1">
      <c r="A122" s="683" t="s">
        <v>795</v>
      </c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3"/>
      <c r="M122" s="683"/>
      <c r="N122" s="683"/>
      <c r="O122" s="683"/>
      <c r="P122" s="683"/>
      <c r="Q122" s="683"/>
      <c r="R122" s="683"/>
      <c r="S122" s="683"/>
      <c r="T122" s="683"/>
      <c r="U122" s="683"/>
      <c r="V122" s="683"/>
      <c r="W122" s="683"/>
      <c r="X122" s="683"/>
      <c r="Y122" s="683"/>
      <c r="Z122" s="683"/>
      <c r="AA122" s="683"/>
      <c r="AB122" s="683"/>
      <c r="AC122" s="683"/>
      <c r="AD122" s="683"/>
      <c r="AE122" s="683"/>
      <c r="AF122" s="683"/>
      <c r="AG122" s="683"/>
      <c r="AH122" s="683"/>
      <c r="AI122" s="683"/>
      <c r="AJ122" s="137"/>
      <c r="AK122" s="89"/>
      <c r="AN122" s="37"/>
    </row>
    <row r="123" spans="1:40" ht="15" customHeight="1">
      <c r="A123" s="57"/>
      <c r="B123" s="57"/>
      <c r="C123" s="57"/>
      <c r="D123" s="57"/>
      <c r="AJ123" s="137"/>
    </row>
    <row r="124" spans="1:40" ht="12.75" customHeight="1">
      <c r="A124" s="65"/>
      <c r="B124" s="65"/>
      <c r="C124" s="65"/>
      <c r="D124" s="65"/>
      <c r="AJ124" s="137"/>
    </row>
    <row r="125" spans="1:40" ht="15" customHeight="1">
      <c r="P125" s="57"/>
      <c r="Q125" s="57"/>
      <c r="R125" s="57"/>
      <c r="S125" s="57"/>
      <c r="T125" s="57"/>
      <c r="U125" s="57"/>
      <c r="V125" s="57"/>
      <c r="W125" s="88"/>
      <c r="Z125" s="57"/>
      <c r="AA125" s="57"/>
      <c r="AB125" s="57"/>
      <c r="AC125" s="57"/>
      <c r="AD125" s="57"/>
      <c r="AE125" s="57"/>
      <c r="AF125" s="57"/>
      <c r="AG125" s="57"/>
      <c r="AH125" s="57"/>
      <c r="AJ125" s="137"/>
    </row>
    <row r="126" spans="1:40" ht="12.75" customHeight="1">
      <c r="P126" s="58"/>
      <c r="Q126" s="58"/>
      <c r="R126" s="58"/>
      <c r="S126" s="58"/>
      <c r="T126" s="58"/>
      <c r="U126" s="58"/>
      <c r="V126" s="58"/>
      <c r="Z126" s="58"/>
      <c r="AA126" s="58"/>
      <c r="AB126" s="58"/>
      <c r="AC126" s="58"/>
      <c r="AD126" s="58"/>
      <c r="AE126" s="58"/>
      <c r="AF126" s="58"/>
      <c r="AG126" s="58"/>
      <c r="AH126" s="58"/>
      <c r="AJ126" s="134"/>
    </row>
    <row r="127" spans="1:40">
      <c r="P127" s="57"/>
      <c r="Q127" s="57"/>
      <c r="R127" s="57"/>
      <c r="S127" s="57"/>
      <c r="T127" s="57"/>
      <c r="U127" s="57"/>
      <c r="V127" s="57"/>
      <c r="Z127" s="57"/>
      <c r="AA127" s="57"/>
      <c r="AB127" s="57"/>
      <c r="AC127" s="57"/>
      <c r="AD127" s="57"/>
      <c r="AE127" s="57"/>
      <c r="AF127" s="57"/>
      <c r="AG127" s="57"/>
      <c r="AH127" s="57"/>
      <c r="AJ127" s="137"/>
    </row>
    <row r="128" spans="1:40">
      <c r="AJ128" s="137"/>
    </row>
    <row r="129" spans="36:36">
      <c r="AJ129" s="137"/>
    </row>
    <row r="130" spans="36:36">
      <c r="AJ130" s="137"/>
    </row>
    <row r="131" spans="36:36">
      <c r="AJ131" s="137"/>
    </row>
    <row r="132" spans="36:36">
      <c r="AJ132" s="137"/>
    </row>
    <row r="133" spans="36:36">
      <c r="AJ133" s="137"/>
    </row>
    <row r="134" spans="36:36">
      <c r="AJ134" s="137"/>
    </row>
    <row r="135" spans="36:36">
      <c r="AJ135" s="137"/>
    </row>
    <row r="136" spans="36:36">
      <c r="AJ136" s="134"/>
    </row>
    <row r="137" spans="36:36">
      <c r="AJ137" s="137"/>
    </row>
    <row r="138" spans="36:36">
      <c r="AJ138" s="137"/>
    </row>
    <row r="139" spans="36:36">
      <c r="AJ139" s="137"/>
    </row>
    <row r="140" spans="36:36">
      <c r="AJ140" s="134"/>
    </row>
    <row r="141" spans="36:36">
      <c r="AJ141" s="137"/>
    </row>
    <row r="142" spans="36:36">
      <c r="AJ142" s="137"/>
    </row>
    <row r="143" spans="36:36">
      <c r="AJ143" s="137"/>
    </row>
    <row r="144" spans="36:36">
      <c r="AJ144" s="137"/>
    </row>
    <row r="145" spans="36:36">
      <c r="AJ145" s="137"/>
    </row>
    <row r="146" spans="36:36">
      <c r="AJ146" s="137"/>
    </row>
    <row r="147" spans="36:36">
      <c r="AJ147" s="134"/>
    </row>
    <row r="148" spans="36:36">
      <c r="AJ148" s="134"/>
    </row>
    <row r="149" spans="36:36">
      <c r="AJ149" s="137"/>
    </row>
    <row r="150" spans="36:36">
      <c r="AJ150" s="134"/>
    </row>
    <row r="151" spans="36:36">
      <c r="AJ151" s="137"/>
    </row>
    <row r="152" spans="36:36">
      <c r="AJ152" s="137"/>
    </row>
    <row r="153" spans="36:36">
      <c r="AJ153" s="137"/>
    </row>
    <row r="154" spans="36:36">
      <c r="AJ154" s="137"/>
    </row>
    <row r="155" spans="36:36">
      <c r="AJ155" s="137"/>
    </row>
    <row r="156" spans="36:36">
      <c r="AJ156" s="137"/>
    </row>
    <row r="157" spans="36:36">
      <c r="AJ157" s="137"/>
    </row>
    <row r="158" spans="36:36">
      <c r="AJ158" s="137"/>
    </row>
    <row r="159" spans="36:36">
      <c r="AJ159" s="134"/>
    </row>
    <row r="160" spans="36:36">
      <c r="AJ160" s="137"/>
    </row>
    <row r="161" spans="36:36">
      <c r="AJ161" s="137"/>
    </row>
    <row r="162" spans="36:36">
      <c r="AJ162" s="137"/>
    </row>
    <row r="163" spans="36:36">
      <c r="AJ163" s="137"/>
    </row>
    <row r="164" spans="36:36">
      <c r="AJ164" s="137"/>
    </row>
    <row r="165" spans="36:36">
      <c r="AJ165" s="137"/>
    </row>
    <row r="166" spans="36:36">
      <c r="AJ166" s="134"/>
    </row>
    <row r="167" spans="36:36">
      <c r="AJ167" s="134"/>
    </row>
    <row r="168" spans="36:36">
      <c r="AJ168" s="137"/>
    </row>
    <row r="169" spans="36:36">
      <c r="AJ169" s="137"/>
    </row>
    <row r="170" spans="36:36">
      <c r="AJ170" s="137"/>
    </row>
    <row r="171" spans="36:36">
      <c r="AJ171" s="137"/>
    </row>
    <row r="172" spans="36:36">
      <c r="AJ172" s="137"/>
    </row>
    <row r="173" spans="36:36">
      <c r="AJ173" s="137"/>
    </row>
    <row r="174" spans="36:36">
      <c r="AJ174" s="137"/>
    </row>
    <row r="175" spans="36:36">
      <c r="AJ175" s="137"/>
    </row>
    <row r="176" spans="36:36">
      <c r="AJ176" s="137"/>
    </row>
    <row r="177" spans="36:36">
      <c r="AJ177" s="134"/>
    </row>
    <row r="178" spans="36:36">
      <c r="AJ178" s="134"/>
    </row>
    <row r="179" spans="36:36">
      <c r="AJ179" s="137"/>
    </row>
    <row r="180" spans="36:36">
      <c r="AJ180" s="137"/>
    </row>
    <row r="181" spans="36:36">
      <c r="AJ181" s="137"/>
    </row>
    <row r="182" spans="36:36">
      <c r="AJ182" s="137"/>
    </row>
    <row r="183" spans="36:36">
      <c r="AJ183" s="137"/>
    </row>
    <row r="184" spans="36:36">
      <c r="AJ184" s="137"/>
    </row>
    <row r="185" spans="36:36">
      <c r="AJ185" s="134"/>
    </row>
    <row r="186" spans="36:36">
      <c r="AJ186" s="137"/>
    </row>
    <row r="187" spans="36:36">
      <c r="AJ187" s="137"/>
    </row>
    <row r="188" spans="36:36">
      <c r="AJ188" s="137"/>
    </row>
    <row r="189" spans="36:36">
      <c r="AJ189" s="137"/>
    </row>
    <row r="190" spans="36:36">
      <c r="AJ190" s="137"/>
    </row>
    <row r="191" spans="36:36">
      <c r="AJ191" s="137"/>
    </row>
    <row r="192" spans="36:36">
      <c r="AJ192" s="134"/>
    </row>
    <row r="193" spans="36:36">
      <c r="AJ193" s="137"/>
    </row>
    <row r="194" spans="36:36">
      <c r="AJ194" s="137"/>
    </row>
    <row r="195" spans="36:36">
      <c r="AJ195" s="137"/>
    </row>
    <row r="196" spans="36:36">
      <c r="AJ196" s="137"/>
    </row>
    <row r="197" spans="36:36">
      <c r="AJ197" s="137"/>
    </row>
    <row r="198" spans="36:36">
      <c r="AJ198" s="137"/>
    </row>
    <row r="199" spans="36:36">
      <c r="AJ199" s="137"/>
    </row>
    <row r="200" spans="36:36">
      <c r="AJ200" s="137"/>
    </row>
    <row r="201" spans="36:36">
      <c r="AJ201" s="137"/>
    </row>
    <row r="202" spans="36:36">
      <c r="AJ202" s="137"/>
    </row>
    <row r="203" spans="36:36">
      <c r="AJ203" s="137"/>
    </row>
    <row r="204" spans="36:36">
      <c r="AJ204" s="137"/>
    </row>
    <row r="205" spans="36:36">
      <c r="AJ205" s="137"/>
    </row>
    <row r="206" spans="36:36">
      <c r="AJ206" s="137"/>
    </row>
    <row r="207" spans="36:36">
      <c r="AJ207" s="137"/>
    </row>
    <row r="208" spans="36:36">
      <c r="AJ208" s="137"/>
    </row>
    <row r="209" spans="36:36">
      <c r="AJ209" s="137"/>
    </row>
    <row r="210" spans="36:36">
      <c r="AJ210" s="137"/>
    </row>
    <row r="211" spans="36:36">
      <c r="AJ211" s="134"/>
    </row>
    <row r="212" spans="36:36">
      <c r="AJ212" s="137"/>
    </row>
    <row r="213" spans="36:36">
      <c r="AJ213" s="137"/>
    </row>
    <row r="214" spans="36:36">
      <c r="AJ214" s="137"/>
    </row>
    <row r="215" spans="36:36">
      <c r="AJ215" s="137"/>
    </row>
    <row r="216" spans="36:36">
      <c r="AJ216" s="137"/>
    </row>
    <row r="217" spans="36:36">
      <c r="AJ217" s="137"/>
    </row>
    <row r="218" spans="36:36">
      <c r="AJ218" s="137"/>
    </row>
    <row r="219" spans="36:36">
      <c r="AJ219" s="137"/>
    </row>
    <row r="220" spans="36:36">
      <c r="AJ220" s="137"/>
    </row>
    <row r="221" spans="36:36">
      <c r="AJ221" s="137"/>
    </row>
    <row r="222" spans="36:36">
      <c r="AJ222" s="137"/>
    </row>
    <row r="223" spans="36:36">
      <c r="AJ223" s="134"/>
    </row>
    <row r="224" spans="36:36">
      <c r="AJ224" s="137"/>
    </row>
    <row r="225" spans="36:36">
      <c r="AJ225" s="137"/>
    </row>
    <row r="226" spans="36:36">
      <c r="AJ226" s="137"/>
    </row>
    <row r="227" spans="36:36">
      <c r="AJ227" s="137"/>
    </row>
    <row r="228" spans="36:36">
      <c r="AJ228" s="137"/>
    </row>
    <row r="229" spans="36:36">
      <c r="AJ229" s="137"/>
    </row>
    <row r="230" spans="36:36">
      <c r="AJ230" s="137"/>
    </row>
    <row r="231" spans="36:36">
      <c r="AJ231" s="137"/>
    </row>
    <row r="232" spans="36:36">
      <c r="AJ232" s="134"/>
    </row>
    <row r="233" spans="36:36">
      <c r="AJ233" s="137"/>
    </row>
    <row r="234" spans="36:36">
      <c r="AJ234" s="137"/>
    </row>
    <row r="235" spans="36:36">
      <c r="AJ235" s="137"/>
    </row>
    <row r="236" spans="36:36">
      <c r="AJ236" s="137"/>
    </row>
    <row r="237" spans="36:36">
      <c r="AJ237" s="137"/>
    </row>
    <row r="238" spans="36:36">
      <c r="AJ238" s="137"/>
    </row>
    <row r="239" spans="36:36">
      <c r="AJ239" s="134"/>
    </row>
    <row r="240" spans="36:36">
      <c r="AJ240" s="137"/>
    </row>
    <row r="241" spans="36:36">
      <c r="AJ241" s="137"/>
    </row>
    <row r="242" spans="36:36">
      <c r="AJ242" s="137"/>
    </row>
    <row r="243" spans="36:36">
      <c r="AJ243" s="137"/>
    </row>
    <row r="244" spans="36:36">
      <c r="AJ244" s="137"/>
    </row>
    <row r="245" spans="36:36">
      <c r="AJ245" s="137"/>
    </row>
    <row r="246" spans="36:36">
      <c r="AJ246" s="137"/>
    </row>
    <row r="247" spans="36:36">
      <c r="AJ247" s="134"/>
    </row>
    <row r="248" spans="36:36">
      <c r="AJ248" s="137"/>
    </row>
    <row r="249" spans="36:36">
      <c r="AJ249" s="137"/>
    </row>
    <row r="250" spans="36:36">
      <c r="AJ250" s="137"/>
    </row>
    <row r="251" spans="36:36">
      <c r="AJ251" s="137"/>
    </row>
    <row r="252" spans="36:36">
      <c r="AJ252" s="137"/>
    </row>
    <row r="253" spans="36:36">
      <c r="AJ253" s="137"/>
    </row>
    <row r="254" spans="36:36">
      <c r="AJ254" s="137"/>
    </row>
    <row r="255" spans="36:36">
      <c r="AJ255" s="137"/>
    </row>
    <row r="256" spans="36:36">
      <c r="AJ256" s="137"/>
    </row>
    <row r="257" spans="36:36">
      <c r="AJ257" s="137"/>
    </row>
    <row r="258" spans="36:36">
      <c r="AJ258" s="137"/>
    </row>
    <row r="259" spans="36:36">
      <c r="AJ259" s="137"/>
    </row>
    <row r="260" spans="36:36">
      <c r="AJ260" s="137"/>
    </row>
    <row r="261" spans="36:36">
      <c r="AJ261" s="137"/>
    </row>
    <row r="262" spans="36:36">
      <c r="AJ262" s="137"/>
    </row>
    <row r="263" spans="36:36">
      <c r="AJ263" s="137"/>
    </row>
    <row r="264" spans="36:36">
      <c r="AJ264" s="137"/>
    </row>
    <row r="265" spans="36:36">
      <c r="AJ265" s="137"/>
    </row>
    <row r="266" spans="36:36">
      <c r="AJ266" s="137"/>
    </row>
    <row r="267" spans="36:36">
      <c r="AJ267" s="137"/>
    </row>
    <row r="273" spans="36:36">
      <c r="AJ273" s="137"/>
    </row>
    <row r="282" spans="36:36">
      <c r="AJ282" s="89"/>
    </row>
    <row r="283" spans="36:36">
      <c r="AJ283" s="89"/>
    </row>
  </sheetData>
  <mergeCells count="1067">
    <mergeCell ref="D120:J120"/>
    <mergeCell ref="N120:T120"/>
    <mergeCell ref="X120:AF120"/>
    <mergeCell ref="A121:AI121"/>
    <mergeCell ref="A122:AI122"/>
    <mergeCell ref="C113:AI113"/>
    <mergeCell ref="C114:AI114"/>
    <mergeCell ref="A115:C115"/>
    <mergeCell ref="D115:J115"/>
    <mergeCell ref="N115:T115"/>
    <mergeCell ref="X115:AF115"/>
    <mergeCell ref="D116:J116"/>
    <mergeCell ref="N116:T116"/>
    <mergeCell ref="X116:AF116"/>
    <mergeCell ref="A119:C119"/>
    <mergeCell ref="D119:J119"/>
    <mergeCell ref="N119:T119"/>
    <mergeCell ref="X119:AF119"/>
    <mergeCell ref="D117:J117"/>
    <mergeCell ref="N117:T117"/>
    <mergeCell ref="X117:AF117"/>
    <mergeCell ref="D118:J118"/>
    <mergeCell ref="N118:T118"/>
    <mergeCell ref="X118:AF118"/>
    <mergeCell ref="P110:S110"/>
    <mergeCell ref="T110:W110"/>
    <mergeCell ref="X110:AB110"/>
    <mergeCell ref="AC110:AI110"/>
    <mergeCell ref="B110:C110"/>
    <mergeCell ref="D110:G110"/>
    <mergeCell ref="H110:K110"/>
    <mergeCell ref="L110:O110"/>
    <mergeCell ref="P111:S111"/>
    <mergeCell ref="T111:W111"/>
    <mergeCell ref="X111:AB111"/>
    <mergeCell ref="AC111:AI111"/>
    <mergeCell ref="B111:C111"/>
    <mergeCell ref="D111:G111"/>
    <mergeCell ref="H111:K111"/>
    <mergeCell ref="L111:O111"/>
    <mergeCell ref="P112:S112"/>
    <mergeCell ref="T112:W112"/>
    <mergeCell ref="X112:AB112"/>
    <mergeCell ref="AC112:AI112"/>
    <mergeCell ref="B112:C112"/>
    <mergeCell ref="D112:G112"/>
    <mergeCell ref="H112:K112"/>
    <mergeCell ref="L112:O112"/>
    <mergeCell ref="X107:AB108"/>
    <mergeCell ref="AC107:AI108"/>
    <mergeCell ref="H108:K108"/>
    <mergeCell ref="L108:O108"/>
    <mergeCell ref="P108:S108"/>
    <mergeCell ref="T108:W108"/>
    <mergeCell ref="H107:O107"/>
    <mergeCell ref="P107:W107"/>
    <mergeCell ref="X109:AB109"/>
    <mergeCell ref="AC109:AI109"/>
    <mergeCell ref="B109:C109"/>
    <mergeCell ref="D109:G109"/>
    <mergeCell ref="H109:K109"/>
    <mergeCell ref="L109:O109"/>
    <mergeCell ref="E104:I104"/>
    <mergeCell ref="J104:L104"/>
    <mergeCell ref="M104:O104"/>
    <mergeCell ref="P104:Q104"/>
    <mergeCell ref="P109:S109"/>
    <mergeCell ref="T109:W109"/>
    <mergeCell ref="A106:V106"/>
    <mergeCell ref="A107:A108"/>
    <mergeCell ref="B107:C108"/>
    <mergeCell ref="D107:G108"/>
    <mergeCell ref="AD104:AE104"/>
    <mergeCell ref="AF104:AG104"/>
    <mergeCell ref="R104:S104"/>
    <mergeCell ref="T104:U104"/>
    <mergeCell ref="V104:W104"/>
    <mergeCell ref="X104:Y104"/>
    <mergeCell ref="AF105:AG105"/>
    <mergeCell ref="AH105:AI105"/>
    <mergeCell ref="AH104:AI104"/>
    <mergeCell ref="E105:I105"/>
    <mergeCell ref="J105:L105"/>
    <mergeCell ref="M105:O105"/>
    <mergeCell ref="P105:Q105"/>
    <mergeCell ref="R105:S105"/>
    <mergeCell ref="T105:U105"/>
    <mergeCell ref="V105:W105"/>
    <mergeCell ref="E102:I102"/>
    <mergeCell ref="J102:L102"/>
    <mergeCell ref="M102:O102"/>
    <mergeCell ref="P102:Q102"/>
    <mergeCell ref="AB105:AC105"/>
    <mergeCell ref="AD105:AE105"/>
    <mergeCell ref="X105:Y105"/>
    <mergeCell ref="Z105:AA105"/>
    <mergeCell ref="Z104:AA104"/>
    <mergeCell ref="AB104:AC104"/>
    <mergeCell ref="AD102:AE102"/>
    <mergeCell ref="AF102:AG102"/>
    <mergeCell ref="R102:S102"/>
    <mergeCell ref="T102:U102"/>
    <mergeCell ref="V102:W102"/>
    <mergeCell ref="X102:Y102"/>
    <mergeCell ref="AF103:AG103"/>
    <mergeCell ref="AH103:AI103"/>
    <mergeCell ref="AH102:AI102"/>
    <mergeCell ref="E103:I103"/>
    <mergeCell ref="J103:L103"/>
    <mergeCell ref="M103:O103"/>
    <mergeCell ref="P103:Q103"/>
    <mergeCell ref="R103:S103"/>
    <mergeCell ref="T103:U103"/>
    <mergeCell ref="V103:W103"/>
    <mergeCell ref="E100:I100"/>
    <mergeCell ref="J100:L100"/>
    <mergeCell ref="M100:O100"/>
    <mergeCell ref="P100:Q100"/>
    <mergeCell ref="AB103:AC103"/>
    <mergeCell ref="AD103:AE103"/>
    <mergeCell ref="X103:Y103"/>
    <mergeCell ref="Z103:AA103"/>
    <mergeCell ref="Z102:AA102"/>
    <mergeCell ref="AB102:AC102"/>
    <mergeCell ref="AD100:AE100"/>
    <mergeCell ref="AF100:AG100"/>
    <mergeCell ref="R100:S100"/>
    <mergeCell ref="T100:U100"/>
    <mergeCell ref="V100:W100"/>
    <mergeCell ref="X100:Y100"/>
    <mergeCell ref="AF101:AG101"/>
    <mergeCell ref="AH101:AI101"/>
    <mergeCell ref="AH100:AI100"/>
    <mergeCell ref="E101:I101"/>
    <mergeCell ref="J101:L101"/>
    <mergeCell ref="M101:O101"/>
    <mergeCell ref="P101:Q101"/>
    <mergeCell ref="R101:S101"/>
    <mergeCell ref="T101:U101"/>
    <mergeCell ref="V101:W101"/>
    <mergeCell ref="E98:F98"/>
    <mergeCell ref="J98:L98"/>
    <mergeCell ref="M98:O98"/>
    <mergeCell ref="P98:Q98"/>
    <mergeCell ref="AB101:AC101"/>
    <mergeCell ref="AD101:AE101"/>
    <mergeCell ref="X101:Y101"/>
    <mergeCell ref="Z101:AA101"/>
    <mergeCell ref="Z100:AA100"/>
    <mergeCell ref="AB100:AC100"/>
    <mergeCell ref="AD98:AE98"/>
    <mergeCell ref="AF98:AG98"/>
    <mergeCell ref="R98:S98"/>
    <mergeCell ref="T98:U98"/>
    <mergeCell ref="V98:W98"/>
    <mergeCell ref="X98:Y98"/>
    <mergeCell ref="AF99:AG99"/>
    <mergeCell ref="AH99:AI99"/>
    <mergeCell ref="AH98:AI98"/>
    <mergeCell ref="E99:F99"/>
    <mergeCell ref="J99:L99"/>
    <mergeCell ref="M99:O99"/>
    <mergeCell ref="P99:Q99"/>
    <mergeCell ref="R99:S99"/>
    <mergeCell ref="T99:U99"/>
    <mergeCell ref="V99:W99"/>
    <mergeCell ref="E96:F96"/>
    <mergeCell ref="J96:L96"/>
    <mergeCell ref="M96:O96"/>
    <mergeCell ref="P96:Q96"/>
    <mergeCell ref="AB99:AC99"/>
    <mergeCell ref="AD99:AE99"/>
    <mergeCell ref="X99:Y99"/>
    <mergeCell ref="Z99:AA99"/>
    <mergeCell ref="Z98:AA98"/>
    <mergeCell ref="AB98:AC98"/>
    <mergeCell ref="AD96:AE96"/>
    <mergeCell ref="AF96:AG96"/>
    <mergeCell ref="R96:S96"/>
    <mergeCell ref="T96:U96"/>
    <mergeCell ref="V96:W96"/>
    <mergeCell ref="X96:Y96"/>
    <mergeCell ref="AF97:AG97"/>
    <mergeCell ref="AH97:AI97"/>
    <mergeCell ref="AH96:AI96"/>
    <mergeCell ref="E97:F97"/>
    <mergeCell ref="J97:L97"/>
    <mergeCell ref="M97:O97"/>
    <mergeCell ref="P97:Q97"/>
    <mergeCell ref="R97:S97"/>
    <mergeCell ref="T97:U97"/>
    <mergeCell ref="V97:W97"/>
    <mergeCell ref="E94:F94"/>
    <mergeCell ref="J94:L94"/>
    <mergeCell ref="M94:O94"/>
    <mergeCell ref="P94:Q94"/>
    <mergeCell ref="AB97:AC97"/>
    <mergeCell ref="AD97:AE97"/>
    <mergeCell ref="X97:Y97"/>
    <mergeCell ref="Z97:AA97"/>
    <mergeCell ref="Z96:AA96"/>
    <mergeCell ref="AB96:AC96"/>
    <mergeCell ref="AD94:AE94"/>
    <mergeCell ref="AF94:AG94"/>
    <mergeCell ref="R94:S94"/>
    <mergeCell ref="T94:U94"/>
    <mergeCell ref="V94:W94"/>
    <mergeCell ref="X94:Y94"/>
    <mergeCell ref="AF95:AG95"/>
    <mergeCell ref="AH95:AI95"/>
    <mergeCell ref="AH94:AI94"/>
    <mergeCell ref="E95:F95"/>
    <mergeCell ref="J95:L95"/>
    <mergeCell ref="M95:O95"/>
    <mergeCell ref="P95:Q95"/>
    <mergeCell ref="R95:S95"/>
    <mergeCell ref="T95:U95"/>
    <mergeCell ref="V95:W95"/>
    <mergeCell ref="E91:F91"/>
    <mergeCell ref="J91:L91"/>
    <mergeCell ref="M91:O91"/>
    <mergeCell ref="P91:Q91"/>
    <mergeCell ref="AB95:AC95"/>
    <mergeCell ref="AD95:AE95"/>
    <mergeCell ref="X95:Y95"/>
    <mergeCell ref="Z95:AA95"/>
    <mergeCell ref="Z94:AA94"/>
    <mergeCell ref="AB94:AC94"/>
    <mergeCell ref="AD91:AE91"/>
    <mergeCell ref="AF91:AG91"/>
    <mergeCell ref="R91:S91"/>
    <mergeCell ref="T91:U91"/>
    <mergeCell ref="V91:W91"/>
    <mergeCell ref="X91:Y91"/>
    <mergeCell ref="AF92:AG92"/>
    <mergeCell ref="AH92:AI92"/>
    <mergeCell ref="AH91:AI91"/>
    <mergeCell ref="E92:F92"/>
    <mergeCell ref="J92:L92"/>
    <mergeCell ref="M92:O92"/>
    <mergeCell ref="P92:Q92"/>
    <mergeCell ref="R92:S92"/>
    <mergeCell ref="T92:U92"/>
    <mergeCell ref="V92:W92"/>
    <mergeCell ref="E89:F89"/>
    <mergeCell ref="J89:L89"/>
    <mergeCell ref="M89:O89"/>
    <mergeCell ref="P89:Q89"/>
    <mergeCell ref="AB92:AC92"/>
    <mergeCell ref="AD92:AE92"/>
    <mergeCell ref="X92:Y92"/>
    <mergeCell ref="Z92:AA92"/>
    <mergeCell ref="Z91:AA91"/>
    <mergeCell ref="AB91:AC91"/>
    <mergeCell ref="AD89:AE89"/>
    <mergeCell ref="AF89:AG89"/>
    <mergeCell ref="R89:S89"/>
    <mergeCell ref="T89:U89"/>
    <mergeCell ref="V89:W89"/>
    <mergeCell ref="X89:Y89"/>
    <mergeCell ref="AF90:AG90"/>
    <mergeCell ref="AH90:AI90"/>
    <mergeCell ref="AH89:AI89"/>
    <mergeCell ref="E90:F90"/>
    <mergeCell ref="J90:L90"/>
    <mergeCell ref="M90:O90"/>
    <mergeCell ref="P90:Q90"/>
    <mergeCell ref="R90:S90"/>
    <mergeCell ref="T90:U90"/>
    <mergeCell ref="V90:W90"/>
    <mergeCell ref="E87:I87"/>
    <mergeCell ref="J87:L87"/>
    <mergeCell ref="M87:O87"/>
    <mergeCell ref="P87:Q87"/>
    <mergeCell ref="AB90:AC90"/>
    <mergeCell ref="AD90:AE90"/>
    <mergeCell ref="X90:Y90"/>
    <mergeCell ref="Z90:AA90"/>
    <mergeCell ref="Z89:AA89"/>
    <mergeCell ref="AB89:AC89"/>
    <mergeCell ref="AD87:AE87"/>
    <mergeCell ref="AF87:AG87"/>
    <mergeCell ref="R87:S87"/>
    <mergeCell ref="T87:U87"/>
    <mergeCell ref="V87:W87"/>
    <mergeCell ref="X87:Y87"/>
    <mergeCell ref="AF88:AG88"/>
    <mergeCell ref="AH88:AI88"/>
    <mergeCell ref="AH87:AI87"/>
    <mergeCell ref="E88:F88"/>
    <mergeCell ref="J88:L88"/>
    <mergeCell ref="M88:O88"/>
    <mergeCell ref="P88:Q88"/>
    <mergeCell ref="R88:S88"/>
    <mergeCell ref="T88:U88"/>
    <mergeCell ref="V88:W88"/>
    <mergeCell ref="E85:I85"/>
    <mergeCell ref="J85:L85"/>
    <mergeCell ref="M85:O85"/>
    <mergeCell ref="P85:Q85"/>
    <mergeCell ref="AB88:AC88"/>
    <mergeCell ref="AD88:AE88"/>
    <mergeCell ref="X88:Y88"/>
    <mergeCell ref="Z88:AA88"/>
    <mergeCell ref="Z87:AA87"/>
    <mergeCell ref="AB87:AC87"/>
    <mergeCell ref="AD85:AE85"/>
    <mergeCell ref="AF85:AG85"/>
    <mergeCell ref="R85:S85"/>
    <mergeCell ref="T85:U85"/>
    <mergeCell ref="V85:W85"/>
    <mergeCell ref="X85:Y85"/>
    <mergeCell ref="AF86:AG86"/>
    <mergeCell ref="AH86:AI86"/>
    <mergeCell ref="AH85:AI85"/>
    <mergeCell ref="E86:I86"/>
    <mergeCell ref="J86:L86"/>
    <mergeCell ref="M86:O86"/>
    <mergeCell ref="P86:Q86"/>
    <mergeCell ref="R86:S86"/>
    <mergeCell ref="T86:U86"/>
    <mergeCell ref="V86:W86"/>
    <mergeCell ref="E83:I83"/>
    <mergeCell ref="J83:L83"/>
    <mergeCell ref="M83:O83"/>
    <mergeCell ref="P83:Q83"/>
    <mergeCell ref="AB86:AC86"/>
    <mergeCell ref="AD86:AE86"/>
    <mergeCell ref="X86:Y86"/>
    <mergeCell ref="Z86:AA86"/>
    <mergeCell ref="Z85:AA85"/>
    <mergeCell ref="AB85:AC85"/>
    <mergeCell ref="AD83:AE83"/>
    <mergeCell ref="AF83:AG83"/>
    <mergeCell ref="R83:S83"/>
    <mergeCell ref="T83:U83"/>
    <mergeCell ref="V83:W83"/>
    <mergeCell ref="X83:Y83"/>
    <mergeCell ref="AF84:AG84"/>
    <mergeCell ref="AH84:AI84"/>
    <mergeCell ref="AH83:AI83"/>
    <mergeCell ref="E84:I84"/>
    <mergeCell ref="J84:L84"/>
    <mergeCell ref="M84:O84"/>
    <mergeCell ref="P84:Q84"/>
    <mergeCell ref="R84:S84"/>
    <mergeCell ref="T84:U84"/>
    <mergeCell ref="V84:W84"/>
    <mergeCell ref="E81:I81"/>
    <mergeCell ref="J81:L81"/>
    <mergeCell ref="M81:O81"/>
    <mergeCell ref="P81:Q81"/>
    <mergeCell ref="AB84:AC84"/>
    <mergeCell ref="AD84:AE84"/>
    <mergeCell ref="X84:Y84"/>
    <mergeCell ref="Z84:AA84"/>
    <mergeCell ref="Z83:AA83"/>
    <mergeCell ref="AB83:AC83"/>
    <mergeCell ref="AD81:AE81"/>
    <mergeCell ref="AF81:AG81"/>
    <mergeCell ref="R81:S81"/>
    <mergeCell ref="T81:U81"/>
    <mergeCell ref="V81:W81"/>
    <mergeCell ref="X81:Y81"/>
    <mergeCell ref="AF82:AG82"/>
    <mergeCell ref="AH82:AI82"/>
    <mergeCell ref="AH81:AI81"/>
    <mergeCell ref="E82:I82"/>
    <mergeCell ref="J82:L82"/>
    <mergeCell ref="M82:O82"/>
    <mergeCell ref="P82:Q82"/>
    <mergeCell ref="R82:S82"/>
    <mergeCell ref="T82:U82"/>
    <mergeCell ref="V82:W82"/>
    <mergeCell ref="E78:I78"/>
    <mergeCell ref="J78:L78"/>
    <mergeCell ref="M78:O78"/>
    <mergeCell ref="P78:Q78"/>
    <mergeCell ref="AB82:AC82"/>
    <mergeCell ref="AD82:AE82"/>
    <mergeCell ref="X82:Y82"/>
    <mergeCell ref="Z82:AA82"/>
    <mergeCell ref="Z81:AA81"/>
    <mergeCell ref="AB81:AC81"/>
    <mergeCell ref="AD78:AE78"/>
    <mergeCell ref="AF78:AG78"/>
    <mergeCell ref="R78:S78"/>
    <mergeCell ref="T78:U78"/>
    <mergeCell ref="V78:W78"/>
    <mergeCell ref="X78:Y78"/>
    <mergeCell ref="AF79:AG79"/>
    <mergeCell ref="AH79:AI79"/>
    <mergeCell ref="AH78:AI78"/>
    <mergeCell ref="E79:F79"/>
    <mergeCell ref="J79:L79"/>
    <mergeCell ref="M79:O79"/>
    <mergeCell ref="P79:Q79"/>
    <mergeCell ref="R79:S79"/>
    <mergeCell ref="T79:U79"/>
    <mergeCell ref="V79:W79"/>
    <mergeCell ref="E76:F76"/>
    <mergeCell ref="J76:L76"/>
    <mergeCell ref="M76:O76"/>
    <mergeCell ref="P76:Q76"/>
    <mergeCell ref="AB79:AC79"/>
    <mergeCell ref="AD79:AE79"/>
    <mergeCell ref="X79:Y79"/>
    <mergeCell ref="Z79:AA79"/>
    <mergeCell ref="Z78:AA78"/>
    <mergeCell ref="AB78:AC78"/>
    <mergeCell ref="AD76:AE76"/>
    <mergeCell ref="AF76:AG76"/>
    <mergeCell ref="R76:S76"/>
    <mergeCell ref="T76:U76"/>
    <mergeCell ref="V76:W76"/>
    <mergeCell ref="X76:Y76"/>
    <mergeCell ref="AF77:AG77"/>
    <mergeCell ref="AH77:AI77"/>
    <mergeCell ref="AH76:AI76"/>
    <mergeCell ref="E77:F77"/>
    <mergeCell ref="J77:L77"/>
    <mergeCell ref="M77:O77"/>
    <mergeCell ref="P77:Q77"/>
    <mergeCell ref="R77:S77"/>
    <mergeCell ref="T77:U77"/>
    <mergeCell ref="V77:W77"/>
    <mergeCell ref="E74:F74"/>
    <mergeCell ref="J74:L74"/>
    <mergeCell ref="M74:O74"/>
    <mergeCell ref="P74:Q74"/>
    <mergeCell ref="AB77:AC77"/>
    <mergeCell ref="AD77:AE77"/>
    <mergeCell ref="X77:Y77"/>
    <mergeCell ref="Z77:AA77"/>
    <mergeCell ref="Z76:AA76"/>
    <mergeCell ref="AB76:AC76"/>
    <mergeCell ref="AD74:AE74"/>
    <mergeCell ref="AF74:AG74"/>
    <mergeCell ref="R74:S74"/>
    <mergeCell ref="T74:U74"/>
    <mergeCell ref="V74:W74"/>
    <mergeCell ref="X74:Y74"/>
    <mergeCell ref="AF75:AG75"/>
    <mergeCell ref="AH75:AI75"/>
    <mergeCell ref="AH74:AI74"/>
    <mergeCell ref="E75:F75"/>
    <mergeCell ref="J75:L75"/>
    <mergeCell ref="M75:O75"/>
    <mergeCell ref="P75:Q75"/>
    <mergeCell ref="R75:S75"/>
    <mergeCell ref="T75:U75"/>
    <mergeCell ref="V75:W75"/>
    <mergeCell ref="E72:F72"/>
    <mergeCell ref="J72:L72"/>
    <mergeCell ref="M72:O72"/>
    <mergeCell ref="P72:Q72"/>
    <mergeCell ref="AB75:AC75"/>
    <mergeCell ref="AD75:AE75"/>
    <mergeCell ref="X75:Y75"/>
    <mergeCell ref="Z75:AA75"/>
    <mergeCell ref="Z74:AA74"/>
    <mergeCell ref="AB74:AC74"/>
    <mergeCell ref="AD72:AE72"/>
    <mergeCell ref="AF72:AG72"/>
    <mergeCell ref="R72:S72"/>
    <mergeCell ref="T72:U72"/>
    <mergeCell ref="V72:W72"/>
    <mergeCell ref="X72:Y72"/>
    <mergeCell ref="AF73:AG73"/>
    <mergeCell ref="AH73:AI73"/>
    <mergeCell ref="AH72:AI72"/>
    <mergeCell ref="E73:F73"/>
    <mergeCell ref="J73:L73"/>
    <mergeCell ref="M73:O73"/>
    <mergeCell ref="P73:Q73"/>
    <mergeCell ref="R73:S73"/>
    <mergeCell ref="T73:U73"/>
    <mergeCell ref="V73:W73"/>
    <mergeCell ref="E69:F69"/>
    <mergeCell ref="J69:L69"/>
    <mergeCell ref="M69:O69"/>
    <mergeCell ref="P69:Q69"/>
    <mergeCell ref="AB73:AC73"/>
    <mergeCell ref="AD73:AE73"/>
    <mergeCell ref="X73:Y73"/>
    <mergeCell ref="Z73:AA73"/>
    <mergeCell ref="Z72:AA72"/>
    <mergeCell ref="AB72:AC72"/>
    <mergeCell ref="AD69:AE69"/>
    <mergeCell ref="AF69:AG69"/>
    <mergeCell ref="R69:S69"/>
    <mergeCell ref="T69:U69"/>
    <mergeCell ref="V69:W69"/>
    <mergeCell ref="X69:Y69"/>
    <mergeCell ref="AF71:AG71"/>
    <mergeCell ref="AH71:AI71"/>
    <mergeCell ref="AH69:AI69"/>
    <mergeCell ref="E71:F71"/>
    <mergeCell ref="J71:L71"/>
    <mergeCell ref="M71:O71"/>
    <mergeCell ref="P71:Q71"/>
    <mergeCell ref="R71:S71"/>
    <mergeCell ref="T71:U71"/>
    <mergeCell ref="V71:W71"/>
    <mergeCell ref="E67:F67"/>
    <mergeCell ref="J67:L67"/>
    <mergeCell ref="M67:O67"/>
    <mergeCell ref="P67:Q67"/>
    <mergeCell ref="AB71:AC71"/>
    <mergeCell ref="AD71:AE71"/>
    <mergeCell ref="X71:Y71"/>
    <mergeCell ref="Z71:AA71"/>
    <mergeCell ref="Z69:AA69"/>
    <mergeCell ref="AB69:AC69"/>
    <mergeCell ref="AD67:AE67"/>
    <mergeCell ref="AF67:AG67"/>
    <mergeCell ref="R67:S67"/>
    <mergeCell ref="T67:U67"/>
    <mergeCell ref="V67:W67"/>
    <mergeCell ref="X67:Y67"/>
    <mergeCell ref="AF68:AG68"/>
    <mergeCell ref="AH68:AI68"/>
    <mergeCell ref="AH67:AI67"/>
    <mergeCell ref="E68:F68"/>
    <mergeCell ref="J68:L68"/>
    <mergeCell ref="M68:O68"/>
    <mergeCell ref="P68:Q68"/>
    <mergeCell ref="R68:S68"/>
    <mergeCell ref="T68:U68"/>
    <mergeCell ref="V68:W68"/>
    <mergeCell ref="E65:F65"/>
    <mergeCell ref="J65:L65"/>
    <mergeCell ref="M65:O65"/>
    <mergeCell ref="P65:Q65"/>
    <mergeCell ref="AB68:AC68"/>
    <mergeCell ref="AD68:AE68"/>
    <mergeCell ref="X68:Y68"/>
    <mergeCell ref="Z68:AA68"/>
    <mergeCell ref="Z67:AA67"/>
    <mergeCell ref="AB67:AC67"/>
    <mergeCell ref="AD65:AE65"/>
    <mergeCell ref="AF65:AG65"/>
    <mergeCell ref="R65:S65"/>
    <mergeCell ref="T65:U65"/>
    <mergeCell ref="V65:W65"/>
    <mergeCell ref="X65:Y65"/>
    <mergeCell ref="AF66:AG66"/>
    <mergeCell ref="AH66:AI66"/>
    <mergeCell ref="AH65:AI65"/>
    <mergeCell ref="E66:F66"/>
    <mergeCell ref="J66:L66"/>
    <mergeCell ref="M66:O66"/>
    <mergeCell ref="P66:Q66"/>
    <mergeCell ref="R66:S66"/>
    <mergeCell ref="T66:U66"/>
    <mergeCell ref="V66:W66"/>
    <mergeCell ref="E63:F63"/>
    <mergeCell ref="J63:L63"/>
    <mergeCell ref="M63:O63"/>
    <mergeCell ref="P63:Q63"/>
    <mergeCell ref="AB66:AC66"/>
    <mergeCell ref="AD66:AE66"/>
    <mergeCell ref="X66:Y66"/>
    <mergeCell ref="Z66:AA66"/>
    <mergeCell ref="Z65:AA65"/>
    <mergeCell ref="AB65:AC65"/>
    <mergeCell ref="AD63:AE63"/>
    <mergeCell ref="AF63:AG63"/>
    <mergeCell ref="R63:S63"/>
    <mergeCell ref="T63:U63"/>
    <mergeCell ref="V63:W63"/>
    <mergeCell ref="X63:Y63"/>
    <mergeCell ref="AF64:AG64"/>
    <mergeCell ref="AH64:AI64"/>
    <mergeCell ref="AH63:AI63"/>
    <mergeCell ref="E64:F64"/>
    <mergeCell ref="J64:L64"/>
    <mergeCell ref="M64:O64"/>
    <mergeCell ref="P64:Q64"/>
    <mergeCell ref="R64:S64"/>
    <mergeCell ref="T64:U64"/>
    <mergeCell ref="V64:W64"/>
    <mergeCell ref="E61:F61"/>
    <mergeCell ref="J61:L61"/>
    <mergeCell ref="M61:O61"/>
    <mergeCell ref="P61:Q61"/>
    <mergeCell ref="AB64:AC64"/>
    <mergeCell ref="AD64:AE64"/>
    <mergeCell ref="X64:Y64"/>
    <mergeCell ref="Z64:AA64"/>
    <mergeCell ref="Z63:AA63"/>
    <mergeCell ref="AB63:AC63"/>
    <mergeCell ref="AD61:AE61"/>
    <mergeCell ref="AF61:AG61"/>
    <mergeCell ref="R61:S61"/>
    <mergeCell ref="T61:U61"/>
    <mergeCell ref="V61:W61"/>
    <mergeCell ref="X61:Y61"/>
    <mergeCell ref="AF62:AG62"/>
    <mergeCell ref="AH62:AI62"/>
    <mergeCell ref="AH61:AI61"/>
    <mergeCell ref="E62:F62"/>
    <mergeCell ref="J62:L62"/>
    <mergeCell ref="M62:O62"/>
    <mergeCell ref="P62:Q62"/>
    <mergeCell ref="R62:S62"/>
    <mergeCell ref="T62:U62"/>
    <mergeCell ref="V62:W62"/>
    <mergeCell ref="E57:F57"/>
    <mergeCell ref="J57:L57"/>
    <mergeCell ref="M57:O57"/>
    <mergeCell ref="P57:Q57"/>
    <mergeCell ref="AB62:AC62"/>
    <mergeCell ref="AD62:AE62"/>
    <mergeCell ref="X62:Y62"/>
    <mergeCell ref="Z62:AA62"/>
    <mergeCell ref="Z61:AA61"/>
    <mergeCell ref="AB61:AC61"/>
    <mergeCell ref="AD57:AE57"/>
    <mergeCell ref="AF57:AG57"/>
    <mergeCell ref="R57:S57"/>
    <mergeCell ref="T57:U57"/>
    <mergeCell ref="V57:W57"/>
    <mergeCell ref="X57:Y57"/>
    <mergeCell ref="AF60:AG60"/>
    <mergeCell ref="AH60:AI60"/>
    <mergeCell ref="AH57:AI57"/>
    <mergeCell ref="E60:F60"/>
    <mergeCell ref="J60:L60"/>
    <mergeCell ref="M60:O60"/>
    <mergeCell ref="P60:Q60"/>
    <mergeCell ref="R60:S60"/>
    <mergeCell ref="T60:U60"/>
    <mergeCell ref="V60:W60"/>
    <mergeCell ref="E55:F55"/>
    <mergeCell ref="J55:L55"/>
    <mergeCell ref="M55:O55"/>
    <mergeCell ref="P55:Q55"/>
    <mergeCell ref="AB60:AC60"/>
    <mergeCell ref="AD60:AE60"/>
    <mergeCell ref="X60:Y60"/>
    <mergeCell ref="Z60:AA60"/>
    <mergeCell ref="Z57:AA57"/>
    <mergeCell ref="AB57:AC57"/>
    <mergeCell ref="AD55:AE55"/>
    <mergeCell ref="AF55:AG55"/>
    <mergeCell ref="R55:S55"/>
    <mergeCell ref="T55:U55"/>
    <mergeCell ref="V55:W55"/>
    <mergeCell ref="X55:Y55"/>
    <mergeCell ref="AF56:AG56"/>
    <mergeCell ref="AH56:AI56"/>
    <mergeCell ref="AH55:AI55"/>
    <mergeCell ref="E56:F56"/>
    <mergeCell ref="J56:L56"/>
    <mergeCell ref="M56:O56"/>
    <mergeCell ref="P56:Q56"/>
    <mergeCell ref="R56:S56"/>
    <mergeCell ref="T56:U56"/>
    <mergeCell ref="V56:W56"/>
    <mergeCell ref="E53:F53"/>
    <mergeCell ref="J53:L53"/>
    <mergeCell ref="M53:O53"/>
    <mergeCell ref="P53:Q53"/>
    <mergeCell ref="AB56:AC56"/>
    <mergeCell ref="AD56:AE56"/>
    <mergeCell ref="X56:Y56"/>
    <mergeCell ref="Z56:AA56"/>
    <mergeCell ref="Z55:AA55"/>
    <mergeCell ref="AB55:AC55"/>
    <mergeCell ref="AD53:AE53"/>
    <mergeCell ref="AF53:AG53"/>
    <mergeCell ref="R53:S53"/>
    <mergeCell ref="T53:U53"/>
    <mergeCell ref="V53:W53"/>
    <mergeCell ref="X53:Y53"/>
    <mergeCell ref="AF54:AG54"/>
    <mergeCell ref="AH54:AI54"/>
    <mergeCell ref="AH53:AI53"/>
    <mergeCell ref="E54:F54"/>
    <mergeCell ref="J54:L54"/>
    <mergeCell ref="M54:O54"/>
    <mergeCell ref="P54:Q54"/>
    <mergeCell ref="R54:S54"/>
    <mergeCell ref="T54:U54"/>
    <mergeCell ref="V54:W54"/>
    <mergeCell ref="E50:F50"/>
    <mergeCell ref="J50:L50"/>
    <mergeCell ref="M50:O50"/>
    <mergeCell ref="P50:Q50"/>
    <mergeCell ref="AB54:AC54"/>
    <mergeCell ref="AD54:AE54"/>
    <mergeCell ref="X54:Y54"/>
    <mergeCell ref="Z54:AA54"/>
    <mergeCell ref="Z53:AA53"/>
    <mergeCell ref="AB53:AC53"/>
    <mergeCell ref="AD50:AE50"/>
    <mergeCell ref="AF50:AG50"/>
    <mergeCell ref="R50:S50"/>
    <mergeCell ref="T50:U50"/>
    <mergeCell ref="V50:W50"/>
    <mergeCell ref="X50:Y50"/>
    <mergeCell ref="AF51:AG51"/>
    <mergeCell ref="AH51:AI51"/>
    <mergeCell ref="AH50:AI50"/>
    <mergeCell ref="E51:F51"/>
    <mergeCell ref="J51:L51"/>
    <mergeCell ref="M51:O51"/>
    <mergeCell ref="P51:Q51"/>
    <mergeCell ref="R51:S51"/>
    <mergeCell ref="T51:U51"/>
    <mergeCell ref="V51:W51"/>
    <mergeCell ref="E48:F48"/>
    <mergeCell ref="J48:L48"/>
    <mergeCell ref="M48:O48"/>
    <mergeCell ref="P48:Q48"/>
    <mergeCell ref="AB51:AC51"/>
    <mergeCell ref="AD51:AE51"/>
    <mergeCell ref="X51:Y51"/>
    <mergeCell ref="Z51:AA51"/>
    <mergeCell ref="Z50:AA50"/>
    <mergeCell ref="AB50:AC50"/>
    <mergeCell ref="AD48:AE48"/>
    <mergeCell ref="AF48:AG48"/>
    <mergeCell ref="R48:S48"/>
    <mergeCell ref="T48:U48"/>
    <mergeCell ref="V48:W48"/>
    <mergeCell ref="X48:Y48"/>
    <mergeCell ref="AF49:AG49"/>
    <mergeCell ref="AH49:AI49"/>
    <mergeCell ref="AH48:AI48"/>
    <mergeCell ref="E49:F49"/>
    <mergeCell ref="J49:L49"/>
    <mergeCell ref="M49:O49"/>
    <mergeCell ref="P49:Q49"/>
    <mergeCell ref="R49:S49"/>
    <mergeCell ref="T49:U49"/>
    <mergeCell ref="V49:W49"/>
    <mergeCell ref="E46:F46"/>
    <mergeCell ref="J46:L46"/>
    <mergeCell ref="M46:O46"/>
    <mergeCell ref="P46:Q46"/>
    <mergeCell ref="AB49:AC49"/>
    <mergeCell ref="AD49:AE49"/>
    <mergeCell ref="X49:Y49"/>
    <mergeCell ref="Z49:AA49"/>
    <mergeCell ref="Z48:AA48"/>
    <mergeCell ref="AB48:AC48"/>
    <mergeCell ref="AD46:AE46"/>
    <mergeCell ref="AF46:AG46"/>
    <mergeCell ref="R46:S46"/>
    <mergeCell ref="T46:U46"/>
    <mergeCell ref="V46:W46"/>
    <mergeCell ref="X46:Y46"/>
    <mergeCell ref="AF47:AG47"/>
    <mergeCell ref="AH47:AI47"/>
    <mergeCell ref="AH46:AI46"/>
    <mergeCell ref="E47:F47"/>
    <mergeCell ref="J47:L47"/>
    <mergeCell ref="M47:O47"/>
    <mergeCell ref="P47:Q47"/>
    <mergeCell ref="R47:S47"/>
    <mergeCell ref="T47:U47"/>
    <mergeCell ref="V47:W47"/>
    <mergeCell ref="E44:F44"/>
    <mergeCell ref="J44:L44"/>
    <mergeCell ref="M44:O44"/>
    <mergeCell ref="P44:Q44"/>
    <mergeCell ref="AB47:AC47"/>
    <mergeCell ref="AD47:AE47"/>
    <mergeCell ref="X47:Y47"/>
    <mergeCell ref="Z47:AA47"/>
    <mergeCell ref="Z46:AA46"/>
    <mergeCell ref="AB46:AC46"/>
    <mergeCell ref="AD44:AE44"/>
    <mergeCell ref="AF44:AG44"/>
    <mergeCell ref="R44:S44"/>
    <mergeCell ref="T44:U44"/>
    <mergeCell ref="V44:W44"/>
    <mergeCell ref="X44:Y44"/>
    <mergeCell ref="AF45:AG45"/>
    <mergeCell ref="AH45:AI45"/>
    <mergeCell ref="AH44:AI44"/>
    <mergeCell ref="E45:F45"/>
    <mergeCell ref="J45:L45"/>
    <mergeCell ref="M45:O45"/>
    <mergeCell ref="P45:Q45"/>
    <mergeCell ref="R45:S45"/>
    <mergeCell ref="T45:U45"/>
    <mergeCell ref="V45:W45"/>
    <mergeCell ref="E42:F42"/>
    <mergeCell ref="J42:L42"/>
    <mergeCell ref="M42:O42"/>
    <mergeCell ref="P42:Q42"/>
    <mergeCell ref="AB45:AC45"/>
    <mergeCell ref="AD45:AE45"/>
    <mergeCell ref="X45:Y45"/>
    <mergeCell ref="Z45:AA45"/>
    <mergeCell ref="Z44:AA44"/>
    <mergeCell ref="AB44:AC44"/>
    <mergeCell ref="AD42:AE42"/>
    <mergeCell ref="AF42:AG42"/>
    <mergeCell ref="R42:S42"/>
    <mergeCell ref="T42:U42"/>
    <mergeCell ref="V42:W42"/>
    <mergeCell ref="X42:Y42"/>
    <mergeCell ref="AF43:AG43"/>
    <mergeCell ref="AH43:AI43"/>
    <mergeCell ref="AH42:AI42"/>
    <mergeCell ref="E43:F43"/>
    <mergeCell ref="J43:L43"/>
    <mergeCell ref="M43:O43"/>
    <mergeCell ref="P43:Q43"/>
    <mergeCell ref="R43:S43"/>
    <mergeCell ref="T43:U43"/>
    <mergeCell ref="V43:W43"/>
    <mergeCell ref="E38:F38"/>
    <mergeCell ref="J38:L38"/>
    <mergeCell ref="M38:O38"/>
    <mergeCell ref="P38:Q38"/>
    <mergeCell ref="AB43:AC43"/>
    <mergeCell ref="AD43:AE43"/>
    <mergeCell ref="X43:Y43"/>
    <mergeCell ref="Z43:AA43"/>
    <mergeCell ref="Z42:AA42"/>
    <mergeCell ref="AB42:AC42"/>
    <mergeCell ref="AD38:AE38"/>
    <mergeCell ref="AF38:AG38"/>
    <mergeCell ref="R38:S38"/>
    <mergeCell ref="T38:U38"/>
    <mergeCell ref="V38:W38"/>
    <mergeCell ref="X38:Y38"/>
    <mergeCell ref="AF39:AG39"/>
    <mergeCell ref="AH39:AI39"/>
    <mergeCell ref="AH38:AI38"/>
    <mergeCell ref="E39:F39"/>
    <mergeCell ref="J39:L39"/>
    <mergeCell ref="M39:O39"/>
    <mergeCell ref="P39:Q39"/>
    <mergeCell ref="R39:S39"/>
    <mergeCell ref="T39:U39"/>
    <mergeCell ref="V39:W39"/>
    <mergeCell ref="E36:F36"/>
    <mergeCell ref="J36:L36"/>
    <mergeCell ref="M36:O36"/>
    <mergeCell ref="P36:Q36"/>
    <mergeCell ref="AB39:AC39"/>
    <mergeCell ref="AD39:AE39"/>
    <mergeCell ref="X39:Y39"/>
    <mergeCell ref="Z39:AA39"/>
    <mergeCell ref="Z38:AA38"/>
    <mergeCell ref="AB38:AC38"/>
    <mergeCell ref="AD36:AE36"/>
    <mergeCell ref="AF36:AG36"/>
    <mergeCell ref="R36:S36"/>
    <mergeCell ref="T36:U36"/>
    <mergeCell ref="V36:W36"/>
    <mergeCell ref="X36:Y36"/>
    <mergeCell ref="AF37:AG37"/>
    <mergeCell ref="AH37:AI37"/>
    <mergeCell ref="AH36:AI36"/>
    <mergeCell ref="E37:F37"/>
    <mergeCell ref="J37:L37"/>
    <mergeCell ref="M37:O37"/>
    <mergeCell ref="P37:Q37"/>
    <mergeCell ref="R37:S37"/>
    <mergeCell ref="T37:U37"/>
    <mergeCell ref="V37:W37"/>
    <mergeCell ref="E34:F34"/>
    <mergeCell ref="J34:L34"/>
    <mergeCell ref="M34:O34"/>
    <mergeCell ref="P34:Q34"/>
    <mergeCell ref="AB37:AC37"/>
    <mergeCell ref="AD37:AE37"/>
    <mergeCell ref="X37:Y37"/>
    <mergeCell ref="Z37:AA37"/>
    <mergeCell ref="Z36:AA36"/>
    <mergeCell ref="AB36:AC36"/>
    <mergeCell ref="AD34:AE34"/>
    <mergeCell ref="AF34:AG34"/>
    <mergeCell ref="R34:S34"/>
    <mergeCell ref="T34:U34"/>
    <mergeCell ref="V34:W34"/>
    <mergeCell ref="X34:Y34"/>
    <mergeCell ref="R35:S35"/>
    <mergeCell ref="T35:U35"/>
    <mergeCell ref="V35:W35"/>
    <mergeCell ref="X35:Y35"/>
    <mergeCell ref="Z34:AA34"/>
    <mergeCell ref="AB34:AC34"/>
    <mergeCell ref="Z35:AA35"/>
    <mergeCell ref="AB35:AC35"/>
    <mergeCell ref="AD35:AE35"/>
    <mergeCell ref="AF35:AG35"/>
    <mergeCell ref="AH34:AI34"/>
    <mergeCell ref="C34:C35"/>
    <mergeCell ref="E35:F35"/>
    <mergeCell ref="J35:L35"/>
    <mergeCell ref="M35:O35"/>
    <mergeCell ref="P35:Q35"/>
    <mergeCell ref="AF31:AG31"/>
    <mergeCell ref="AH31:AI31"/>
    <mergeCell ref="AH35:AI35"/>
    <mergeCell ref="E31:F31"/>
    <mergeCell ref="J31:L31"/>
    <mergeCell ref="M31:O31"/>
    <mergeCell ref="P31:Q31"/>
    <mergeCell ref="R31:S31"/>
    <mergeCell ref="T31:U31"/>
    <mergeCell ref="V31:W31"/>
    <mergeCell ref="E33:F33"/>
    <mergeCell ref="J33:L33"/>
    <mergeCell ref="M33:O33"/>
    <mergeCell ref="P33:Q33"/>
    <mergeCell ref="AB31:AC31"/>
    <mergeCell ref="AD31:AE31"/>
    <mergeCell ref="X31:Y31"/>
    <mergeCell ref="Z31:AA31"/>
    <mergeCell ref="Z33:AA33"/>
    <mergeCell ref="AB33:AC33"/>
    <mergeCell ref="AD33:AE33"/>
    <mergeCell ref="AF33:AG33"/>
    <mergeCell ref="R33:S33"/>
    <mergeCell ref="T33:U33"/>
    <mergeCell ref="V33:W33"/>
    <mergeCell ref="X33:Y33"/>
    <mergeCell ref="AF29:AG29"/>
    <mergeCell ref="AH29:AI29"/>
    <mergeCell ref="AH33:AI33"/>
    <mergeCell ref="E29:F29"/>
    <mergeCell ref="J29:L29"/>
    <mergeCell ref="M29:O29"/>
    <mergeCell ref="P29:Q29"/>
    <mergeCell ref="R29:S29"/>
    <mergeCell ref="T29:U29"/>
    <mergeCell ref="V29:W29"/>
    <mergeCell ref="E30:F30"/>
    <mergeCell ref="J30:L30"/>
    <mergeCell ref="M30:O30"/>
    <mergeCell ref="P30:Q30"/>
    <mergeCell ref="AB29:AC29"/>
    <mergeCell ref="AD29:AE29"/>
    <mergeCell ref="X29:Y29"/>
    <mergeCell ref="Z29:AA29"/>
    <mergeCell ref="Z30:AA30"/>
    <mergeCell ref="AB30:AC30"/>
    <mergeCell ref="AD30:AE30"/>
    <mergeCell ref="AF30:AG30"/>
    <mergeCell ref="R30:S30"/>
    <mergeCell ref="T30:U30"/>
    <mergeCell ref="V30:W30"/>
    <mergeCell ref="X30:Y30"/>
    <mergeCell ref="AF27:AG27"/>
    <mergeCell ref="AH27:AI27"/>
    <mergeCell ref="AH30:AI30"/>
    <mergeCell ref="E27:F27"/>
    <mergeCell ref="J27:L27"/>
    <mergeCell ref="M27:O27"/>
    <mergeCell ref="P27:Q27"/>
    <mergeCell ref="R27:S27"/>
    <mergeCell ref="T27:U27"/>
    <mergeCell ref="V27:W27"/>
    <mergeCell ref="E28:F28"/>
    <mergeCell ref="J28:L28"/>
    <mergeCell ref="M28:O28"/>
    <mergeCell ref="P28:Q28"/>
    <mergeCell ref="AB27:AC27"/>
    <mergeCell ref="AD27:AE27"/>
    <mergeCell ref="X27:Y27"/>
    <mergeCell ref="Z27:AA27"/>
    <mergeCell ref="Z28:AA28"/>
    <mergeCell ref="AB28:AC28"/>
    <mergeCell ref="AD28:AE28"/>
    <mergeCell ref="AF28:AG28"/>
    <mergeCell ref="R28:S28"/>
    <mergeCell ref="T28:U28"/>
    <mergeCell ref="V28:W28"/>
    <mergeCell ref="X28:Y28"/>
    <mergeCell ref="AF25:AG25"/>
    <mergeCell ref="AH25:AI25"/>
    <mergeCell ref="AH28:AI28"/>
    <mergeCell ref="E25:F25"/>
    <mergeCell ref="J25:L25"/>
    <mergeCell ref="M25:O25"/>
    <mergeCell ref="P25:Q25"/>
    <mergeCell ref="R25:S25"/>
    <mergeCell ref="T25:U25"/>
    <mergeCell ref="V25:W25"/>
    <mergeCell ref="E26:F26"/>
    <mergeCell ref="J26:L26"/>
    <mergeCell ref="M26:O26"/>
    <mergeCell ref="P26:Q26"/>
    <mergeCell ref="AB25:AC25"/>
    <mergeCell ref="AD25:AE25"/>
    <mergeCell ref="X25:Y25"/>
    <mergeCell ref="Z25:AA25"/>
    <mergeCell ref="Z26:AA26"/>
    <mergeCell ref="AB26:AC26"/>
    <mergeCell ref="AD26:AE26"/>
    <mergeCell ref="AF26:AG26"/>
    <mergeCell ref="R26:S26"/>
    <mergeCell ref="T26:U26"/>
    <mergeCell ref="V26:W26"/>
    <mergeCell ref="X26:Y26"/>
    <mergeCell ref="AH26:AI26"/>
    <mergeCell ref="J21:L21"/>
    <mergeCell ref="M21:O21"/>
    <mergeCell ref="P21:Q21"/>
    <mergeCell ref="R21:S21"/>
    <mergeCell ref="T21:U21"/>
    <mergeCell ref="V21:W21"/>
    <mergeCell ref="X21:Y21"/>
    <mergeCell ref="Z21:AA21"/>
    <mergeCell ref="AB21:AC21"/>
    <mergeCell ref="AH21:AI21"/>
    <mergeCell ref="E24:F24"/>
    <mergeCell ref="J24:L24"/>
    <mergeCell ref="M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D21:AE21"/>
    <mergeCell ref="AF21:AG21"/>
    <mergeCell ref="AF24:AG24"/>
    <mergeCell ref="AH24:AI24"/>
    <mergeCell ref="A13:AI13"/>
    <mergeCell ref="A14:AI14"/>
    <mergeCell ref="P15:AI16"/>
    <mergeCell ref="A15:A20"/>
    <mergeCell ref="B15:D20"/>
    <mergeCell ref="E15:I20"/>
    <mergeCell ref="J15:L20"/>
    <mergeCell ref="M15:O20"/>
    <mergeCell ref="AJ15:AJ20"/>
    <mergeCell ref="AK15:AK20"/>
    <mergeCell ref="P17:Q20"/>
    <mergeCell ref="R17:S20"/>
    <mergeCell ref="T17:U20"/>
    <mergeCell ref="V17:W20"/>
    <mergeCell ref="X17:Y20"/>
    <mergeCell ref="Z17:AA20"/>
    <mergeCell ref="AB17:AC20"/>
    <mergeCell ref="AD17:AE20"/>
    <mergeCell ref="AF17:AG20"/>
    <mergeCell ref="AH17:AI20"/>
    <mergeCell ref="U1:AI1"/>
    <mergeCell ref="B2:D2"/>
    <mergeCell ref="U2:AI2"/>
    <mergeCell ref="U3:AI3"/>
    <mergeCell ref="Z4:AI4"/>
    <mergeCell ref="A5:AI5"/>
    <mergeCell ref="A6:AI6"/>
    <mergeCell ref="A7:AI7"/>
    <mergeCell ref="A12:AI12"/>
    <mergeCell ref="V8:W8"/>
    <mergeCell ref="A9:AI9"/>
    <mergeCell ref="A10:AI10"/>
    <mergeCell ref="A11:AI11"/>
    <mergeCell ref="B8:C8"/>
    <mergeCell ref="F8:J8"/>
    <mergeCell ref="K8:M8"/>
    <mergeCell ref="P8:U8"/>
  </mergeCells>
  <phoneticPr fontId="0" type="noConversion"/>
  <dataValidations count="1">
    <dataValidation type="list" allowBlank="1" showInputMessage="1" showErrorMessage="1" sqref="AJ1:AJ1048576">
      <formula1>'Исходник '!$G$1:$G$5</formula1>
    </dataValidation>
  </dataValidations>
  <pageMargins left="0.39374999999999999" right="0.19652800000000001" top="0.440278" bottom="0.4" header="0.39027800000000001" footer="0.19652800000000001"/>
  <pageSetup paperSize="9" fitToWidth="0" fitToHeight="3" orientation="landscape"/>
  <headerFooter>
    <oddFooter>&amp;C&amp;A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18</vt:i4>
      </vt:variant>
    </vt:vector>
  </HeadingPairs>
  <TitlesOfParts>
    <vt:vector size="45" baseType="lpstr">
      <vt:lpstr>Исходник </vt:lpstr>
      <vt:lpstr>1.Титул </vt:lpstr>
      <vt:lpstr>Список Т.Д. к Т.О. №505</vt:lpstr>
      <vt:lpstr>Паспорт к Т.О. №500 п-с</vt:lpstr>
      <vt:lpstr>Пр. исп. к Т.О. №505</vt:lpstr>
      <vt:lpstr>П.З. к Т.О. №505</vt:lpstr>
      <vt:lpstr>Протокол № 505-1</vt:lpstr>
      <vt:lpstr>Протокол №505-2</vt:lpstr>
      <vt:lpstr>Протокол №505-3</vt:lpstr>
      <vt:lpstr>Протокол №500-3 п-с</vt:lpstr>
      <vt:lpstr>Протокол №505-4</vt:lpstr>
      <vt:lpstr>Протокол №500-4 п-с</vt:lpstr>
      <vt:lpstr>Протокол № 500-5 п-с</vt:lpstr>
      <vt:lpstr>Протокол № 505-6</vt:lpstr>
      <vt:lpstr>Протокол №500-7 заявка</vt:lpstr>
      <vt:lpstr>Протокол №500-8 заявка</vt:lpstr>
      <vt:lpstr>В.Д. к Т.О. №505</vt:lpstr>
      <vt:lpstr>Протокол №500-9 заявка</vt:lpstr>
      <vt:lpstr>Протокол №500-10 заявка</vt:lpstr>
      <vt:lpstr>Протокол  №500-11 заявка</vt:lpstr>
      <vt:lpstr>Протокол №500-12 заявка</vt:lpstr>
      <vt:lpstr>Пер.Приб. к Т.О. №500 заявка</vt:lpstr>
      <vt:lpstr>Заключение к Т.О. №500 п-с</vt:lpstr>
      <vt:lpstr>Протокол №500-13 п-с (пож.) </vt:lpstr>
      <vt:lpstr>Протокол №500-14 э </vt:lpstr>
      <vt:lpstr>Протокол № 500-15 п-с и э</vt:lpstr>
      <vt:lpstr>Приложение к Т.О. №505 </vt:lpstr>
      <vt:lpstr>'В.Д. к Т.О. №505'!Заголовки_для_печати</vt:lpstr>
      <vt:lpstr>'Пр. исп. к Т.О. №505'!Заголовки_для_печати</vt:lpstr>
      <vt:lpstr>'Приложение к Т.О. №505 '!Заголовки_для_печати</vt:lpstr>
      <vt:lpstr>'Протокол  №500-11 заявка'!Заголовки_для_печати</vt:lpstr>
      <vt:lpstr>'Протокол № 500-5 п-с'!Заголовки_для_печати</vt:lpstr>
      <vt:lpstr>'Протокол № 505-1'!Заголовки_для_печати</vt:lpstr>
      <vt:lpstr>'Протокол № 505-6'!Заголовки_для_печати</vt:lpstr>
      <vt:lpstr>'Протокол №500-10 заявка'!Заголовки_для_печати</vt:lpstr>
      <vt:lpstr>'Протокол №500-12 заявка'!Заголовки_для_печати</vt:lpstr>
      <vt:lpstr>'Протокол №500-13 п-с (пож.) '!Заголовки_для_печати</vt:lpstr>
      <vt:lpstr>'Протокол №500-3 п-с'!Заголовки_для_печати</vt:lpstr>
      <vt:lpstr>'Протокол №500-4 п-с'!Заголовки_для_печати</vt:lpstr>
      <vt:lpstr>'Протокол №500-7 заявка'!Заголовки_для_печати</vt:lpstr>
      <vt:lpstr>'Протокол №500-8 заявка'!Заголовки_для_печати</vt:lpstr>
      <vt:lpstr>'Протокол №500-9 заявка'!Заголовки_для_печати</vt:lpstr>
      <vt:lpstr>'Протокол №505-2'!Заголовки_для_печати</vt:lpstr>
      <vt:lpstr>'Протокол №505-3'!Заголовки_для_печати</vt:lpstr>
      <vt:lpstr>'Протокол №505-4'!Заголовки_для_печати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Op</cp:lastModifiedBy>
  <cp:revision>0</cp:revision>
  <cp:lastPrinted>2020-01-28T10:25:38Z</cp:lastPrinted>
  <dcterms:created xsi:type="dcterms:W3CDTF">2011-11-22T17:18:26Z</dcterms:created>
  <dcterms:modified xsi:type="dcterms:W3CDTF">2020-08-18T19:47:47Z</dcterms:modified>
</cp:coreProperties>
</file>